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75" windowHeight="12420" tabRatio="794"/>
  </bookViews>
  <sheets>
    <sheet name="infrastr plan as of 04.30.15" sheetId="14" r:id="rId1"/>
  </sheets>
  <definedNames>
    <definedName name="_xlnm.Print_Area" localSheetId="0">'infrastr plan as of 04.30.15'!$A$1:$Q$106</definedName>
  </definedNames>
  <calcPr calcId="145621"/>
</workbook>
</file>

<file path=xl/calcChain.xml><?xml version="1.0" encoding="utf-8"?>
<calcChain xmlns="http://schemas.openxmlformats.org/spreadsheetml/2006/main">
  <c r="O33" i="14" l="1"/>
  <c r="O29" i="14"/>
  <c r="O17" i="14"/>
  <c r="O13" i="14"/>
  <c r="O7" i="14"/>
  <c r="O51" i="14"/>
  <c r="O42" i="14"/>
  <c r="O37" i="14"/>
  <c r="O36" i="14"/>
  <c r="O35" i="14"/>
  <c r="O34" i="14"/>
  <c r="J102" i="14" l="1"/>
  <c r="J3" i="14" l="1"/>
  <c r="J73" i="14"/>
  <c r="C3" i="14"/>
  <c r="E3" i="14"/>
  <c r="F3" i="14"/>
  <c r="G3" i="14"/>
  <c r="E5" i="14"/>
  <c r="F5" i="14"/>
  <c r="H5" i="14"/>
  <c r="E6" i="14"/>
  <c r="F6" i="14"/>
  <c r="G6" i="14"/>
  <c r="H6" i="14"/>
  <c r="D7" i="14"/>
  <c r="I7" i="14"/>
  <c r="K7" i="14"/>
  <c r="L7" i="14" s="1"/>
  <c r="N7" i="14"/>
  <c r="E8" i="14"/>
  <c r="O8" i="14" s="1"/>
  <c r="O9" i="14"/>
  <c r="C11" i="14"/>
  <c r="P13" i="14" s="1"/>
  <c r="C13" i="14"/>
  <c r="P17" i="14"/>
  <c r="O21" i="14"/>
  <c r="P21" i="14"/>
  <c r="O25" i="14"/>
  <c r="P25" i="14" s="1"/>
  <c r="P29" i="14"/>
  <c r="I33" i="14"/>
  <c r="P34" i="14"/>
  <c r="P35" i="14"/>
  <c r="P36" i="14"/>
  <c r="P37" i="14"/>
  <c r="P42" i="14"/>
  <c r="O43" i="14"/>
  <c r="P43" i="14" s="1"/>
  <c r="O47" i="14"/>
  <c r="P47" i="14" s="1"/>
  <c r="P51" i="14"/>
  <c r="O55" i="14"/>
  <c r="P55" i="14" s="1"/>
  <c r="O59" i="14"/>
  <c r="P59" i="14" s="1"/>
  <c r="O63" i="14"/>
  <c r="P63" i="14" s="1"/>
  <c r="B64" i="14"/>
  <c r="C64" i="14"/>
  <c r="D64" i="14"/>
  <c r="E64" i="14"/>
  <c r="F64" i="14"/>
  <c r="G64" i="14"/>
  <c r="H64" i="14"/>
  <c r="H66" i="14" s="1"/>
  <c r="I64" i="14"/>
  <c r="I99" i="14" s="1"/>
  <c r="J64" i="14"/>
  <c r="K64" i="14"/>
  <c r="K99" i="14" s="1"/>
  <c r="N64" i="14"/>
  <c r="B66" i="14"/>
  <c r="C66" i="14"/>
  <c r="D66" i="14"/>
  <c r="E66" i="14"/>
  <c r="F66" i="14"/>
  <c r="G66" i="14"/>
  <c r="B68" i="14"/>
  <c r="C67" i="14" s="1"/>
  <c r="C68" i="14" s="1"/>
  <c r="D67" i="14" s="1"/>
  <c r="D68" i="14" s="1"/>
  <c r="E67" i="14" s="1"/>
  <c r="E68" i="14" s="1"/>
  <c r="F67" i="14" s="1"/>
  <c r="F68" i="14" s="1"/>
  <c r="D71" i="14"/>
  <c r="E71" i="14"/>
  <c r="F71" i="14"/>
  <c r="H71" i="14"/>
  <c r="E72" i="14"/>
  <c r="F72" i="14"/>
  <c r="H72" i="14"/>
  <c r="I73" i="14"/>
  <c r="I3" i="14" s="1"/>
  <c r="O73" i="14"/>
  <c r="D75" i="14"/>
  <c r="E75" i="14"/>
  <c r="F75" i="14"/>
  <c r="H75" i="14"/>
  <c r="E76" i="14"/>
  <c r="F76" i="14"/>
  <c r="H76" i="14"/>
  <c r="O78" i="14"/>
  <c r="O79" i="14"/>
  <c r="P79" i="14"/>
  <c r="O80" i="14"/>
  <c r="P80" i="14" s="1"/>
  <c r="O81" i="14"/>
  <c r="P81" i="14"/>
  <c r="O82" i="14"/>
  <c r="P82" i="14" s="1"/>
  <c r="E83" i="14"/>
  <c r="O83" i="14"/>
  <c r="P83" i="14"/>
  <c r="O84" i="14"/>
  <c r="O85" i="14"/>
  <c r="P85" i="14"/>
  <c r="O86" i="14"/>
  <c r="O87" i="14"/>
  <c r="P87" i="14" s="1"/>
  <c r="O88" i="14"/>
  <c r="P88" i="14"/>
  <c r="B89" i="14"/>
  <c r="C89" i="14"/>
  <c r="D89" i="14"/>
  <c r="D91" i="14" s="1"/>
  <c r="D93" i="14" s="1"/>
  <c r="E92" i="14" s="1"/>
  <c r="E89" i="14"/>
  <c r="E91" i="14" s="1"/>
  <c r="F89" i="14"/>
  <c r="G89" i="14"/>
  <c r="H89" i="14"/>
  <c r="H91" i="14" s="1"/>
  <c r="I89" i="14"/>
  <c r="I91" i="14" s="1"/>
  <c r="J89" i="14"/>
  <c r="J91" i="14" s="1"/>
  <c r="K89" i="14"/>
  <c r="L89" i="14"/>
  <c r="L91" i="14" s="1"/>
  <c r="M89" i="14"/>
  <c r="M91" i="14" s="1"/>
  <c r="N89" i="14"/>
  <c r="B91" i="14"/>
  <c r="B93" i="14" s="1"/>
  <c r="C92" i="14" s="1"/>
  <c r="C93" i="14" s="1"/>
  <c r="D92" i="14" s="1"/>
  <c r="C91" i="14"/>
  <c r="F91" i="14"/>
  <c r="G91" i="14"/>
  <c r="K91" i="14"/>
  <c r="N91" i="14"/>
  <c r="D96" i="14"/>
  <c r="E96" i="14"/>
  <c r="F96" i="14"/>
  <c r="H96" i="14"/>
  <c r="E97" i="14"/>
  <c r="F97" i="14"/>
  <c r="H97" i="14"/>
  <c r="B98" i="14"/>
  <c r="C98" i="14"/>
  <c r="D98" i="14"/>
  <c r="E98" i="14"/>
  <c r="F98" i="14"/>
  <c r="H98" i="14"/>
  <c r="B99" i="14"/>
  <c r="B100" i="14" s="1"/>
  <c r="B104" i="14" s="1"/>
  <c r="C102" i="14" s="1"/>
  <c r="C104" i="14" s="1"/>
  <c r="C99" i="14"/>
  <c r="D99" i="14"/>
  <c r="E99" i="14"/>
  <c r="E100" i="14" s="1"/>
  <c r="F99" i="14"/>
  <c r="F100" i="14" s="1"/>
  <c r="G99" i="14"/>
  <c r="N99" i="14"/>
  <c r="C100" i="14"/>
  <c r="D100" i="14"/>
  <c r="D104" i="14" s="1"/>
  <c r="E102" i="14" s="1"/>
  <c r="G100" i="14"/>
  <c r="H99" i="14" l="1"/>
  <c r="H100" i="14" s="1"/>
  <c r="O89" i="14"/>
  <c r="O91" i="14" s="1"/>
  <c r="O93" i="14" s="1"/>
  <c r="J99" i="14"/>
  <c r="J98" i="14"/>
  <c r="J66" i="14"/>
  <c r="I66" i="14"/>
  <c r="I98" i="14"/>
  <c r="G67" i="14"/>
  <c r="G68" i="14" s="1"/>
  <c r="H67" i="14"/>
  <c r="H68" i="14" s="1"/>
  <c r="E104" i="14"/>
  <c r="F102" i="14" s="1"/>
  <c r="F104" i="14" s="1"/>
  <c r="F93" i="14"/>
  <c r="E93" i="14"/>
  <c r="F92" i="14" s="1"/>
  <c r="M7" i="14"/>
  <c r="M64" i="14" s="1"/>
  <c r="M99" i="14" s="1"/>
  <c r="L64" i="14"/>
  <c r="L99" i="14" s="1"/>
  <c r="P78" i="14"/>
  <c r="P89" i="14" s="1"/>
  <c r="J100" i="14" l="1"/>
  <c r="G102" i="14"/>
  <c r="G104" i="14" s="1"/>
  <c r="H102" i="14"/>
  <c r="H104" i="14" s="1"/>
  <c r="I102" i="14" s="1"/>
  <c r="G92" i="14"/>
  <c r="G93" i="14" s="1"/>
  <c r="I92" i="14" s="1"/>
  <c r="I93" i="14" s="1"/>
  <c r="K92" i="14" s="1"/>
  <c r="K93" i="14" s="1"/>
  <c r="L92" i="14" s="1"/>
  <c r="L93" i="14" s="1"/>
  <c r="M92" i="14" s="1"/>
  <c r="M93" i="14" s="1"/>
  <c r="N92" i="14" s="1"/>
  <c r="N93" i="14" s="1"/>
  <c r="H92" i="14"/>
  <c r="H93" i="14" s="1"/>
  <c r="J92" i="14" s="1"/>
  <c r="J93" i="14" s="1"/>
  <c r="I67" i="14"/>
  <c r="I68" i="14" s="1"/>
  <c r="K67" i="14" s="1"/>
  <c r="J67" i="14"/>
  <c r="J68" i="14" s="1"/>
  <c r="I100" i="14"/>
  <c r="I104" i="14" s="1"/>
  <c r="K3" i="14"/>
  <c r="K98" i="14" l="1"/>
  <c r="K66" i="14"/>
  <c r="K68" i="14" s="1"/>
  <c r="L67" i="14" s="1"/>
  <c r="J104" i="14"/>
  <c r="K102" i="14"/>
  <c r="K100" i="14" l="1"/>
  <c r="K104" i="14" s="1"/>
  <c r="L102" i="14" s="1"/>
  <c r="L3" i="14"/>
  <c r="L66" i="14" l="1"/>
  <c r="L68" i="14" s="1"/>
  <c r="M67" i="14" s="1"/>
  <c r="L98" i="14"/>
  <c r="M3" i="14" l="1"/>
  <c r="L100" i="14"/>
  <c r="L104" i="14" s="1"/>
  <c r="M102" i="14" s="1"/>
  <c r="M66" i="14" l="1"/>
  <c r="M68" i="14" s="1"/>
  <c r="N67" i="14" s="1"/>
  <c r="M98" i="14"/>
  <c r="M100" i="14" l="1"/>
  <c r="M104" i="14" s="1"/>
  <c r="N102" i="14" s="1"/>
  <c r="N3" i="14"/>
  <c r="N98" i="14" l="1"/>
  <c r="N100" i="14" s="1"/>
  <c r="N104" i="14" s="1"/>
  <c r="N66" i="14"/>
  <c r="N68" i="14" s="1"/>
  <c r="O3" i="14"/>
  <c r="O98" i="14" l="1"/>
  <c r="O64" i="14" l="1"/>
  <c r="O66" i="14" s="1"/>
  <c r="O68" i="14" s="1"/>
  <c r="P33" i="14"/>
  <c r="P64" i="14" s="1"/>
  <c r="P99" i="14" s="1"/>
  <c r="O99" i="14" l="1"/>
  <c r="O100" i="14" l="1"/>
  <c r="O104" i="14"/>
</calcChain>
</file>

<file path=xl/comments1.xml><?xml version="1.0" encoding="utf-8"?>
<comments xmlns="http://schemas.openxmlformats.org/spreadsheetml/2006/main">
  <authors>
    <author>Casey Toomay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Casey Toomay:</t>
        </r>
        <r>
          <rPr>
            <sz val="9"/>
            <color indexed="81"/>
            <rFont val="Tahoma"/>
            <family val="2"/>
          </rPr>
          <t xml:space="preserve">
includes encumbrances for:
2014 Overlay = 180,161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Casey Toomay:</t>
        </r>
        <r>
          <rPr>
            <sz val="9"/>
            <color indexed="81"/>
            <rFont val="Tahoma"/>
            <family val="2"/>
          </rPr>
          <t xml:space="preserve">
includes encumbrances for:
2014 Overlay = 180,161</t>
        </r>
      </text>
    </comment>
  </commentList>
</comments>
</file>

<file path=xl/sharedStrings.xml><?xml version="1.0" encoding="utf-8"?>
<sst xmlns="http://schemas.openxmlformats.org/spreadsheetml/2006/main" count="234" uniqueCount="104">
  <si>
    <t>RESOURCES</t>
  </si>
  <si>
    <t>Actual</t>
  </si>
  <si>
    <t>Budget</t>
  </si>
  <si>
    <t>Capital Improvement Reserve Fund</t>
  </si>
  <si>
    <t>2009</t>
  </si>
  <si>
    <t>TOTAL</t>
  </si>
  <si>
    <t xml:space="preserve">Infrastructure Sales Tax </t>
  </si>
  <si>
    <t>SALES TAX EXPENSES (total proj. cost)</t>
  </si>
  <si>
    <t>Needed From</t>
  </si>
  <si>
    <t>2014*</t>
  </si>
  <si>
    <t>2015*</t>
  </si>
  <si>
    <t>2016*</t>
  </si>
  <si>
    <t>2017*</t>
  </si>
  <si>
    <t>2018*</t>
  </si>
  <si>
    <t>2019*</t>
  </si>
  <si>
    <r>
      <t>TOTAL</t>
    </r>
    <r>
      <rPr>
        <b/>
        <sz val="12"/>
        <color indexed="9"/>
        <rFont val="Arial"/>
        <family val="2"/>
      </rPr>
      <t>*</t>
    </r>
  </si>
  <si>
    <t>other sources**</t>
  </si>
  <si>
    <t>Kasold - 23rd to 31st - ($4,878,411)</t>
  </si>
  <si>
    <t>$1,000,000 STP</t>
  </si>
  <si>
    <t xml:space="preserve">         Engineering</t>
  </si>
  <si>
    <t xml:space="preserve">         R/W</t>
  </si>
  <si>
    <t xml:space="preserve">         Construction</t>
  </si>
  <si>
    <t>5th and Maple Pump Station - ($5,000,000)</t>
  </si>
  <si>
    <t xml:space="preserve">         Engineering ( includes 23rd and Ousdahl)</t>
  </si>
  <si>
    <t>400000 Utilities</t>
  </si>
  <si>
    <t>in house</t>
  </si>
  <si>
    <t>Utilities</t>
  </si>
  <si>
    <t>Subtotal Capital Improvement Reserve Fund</t>
  </si>
  <si>
    <t>Capital Imprvmt. Reserve Revenue over Expenses</t>
  </si>
  <si>
    <t>Beginning Balance</t>
  </si>
  <si>
    <t>Unencumbered Ending Balance Dec 31</t>
  </si>
  <si>
    <t>Equipment Reserve Fund</t>
  </si>
  <si>
    <t>Fire Apparatus</t>
  </si>
  <si>
    <t>debt, reserve fund from sale of old equip</t>
  </si>
  <si>
    <t>Radio Replacement ($1,000,000)</t>
  </si>
  <si>
    <t>Subtotal Equipment Reserve Fund</t>
  </si>
  <si>
    <t>Equipment Reserve Revenue over Expenses</t>
  </si>
  <si>
    <t>TOTALS</t>
  </si>
  <si>
    <t>All Funds</t>
  </si>
  <si>
    <t>Total Revenue</t>
  </si>
  <si>
    <t>Total Expenses - All Funds</t>
  </si>
  <si>
    <t>Total Revenues over Expenses - All Funds</t>
  </si>
  <si>
    <t>Unencumbered Fund Balance Forward Jan 1 - All Funds</t>
  </si>
  <si>
    <t>Unencumbered Ending Balance Dec 31 - All Funds</t>
  </si>
  <si>
    <t xml:space="preserve">*  expenses do not reflect total project cost.  Instead, only the project expenses to be funded with proceeds from the Infrastructure Sales Tax are shown here.  </t>
  </si>
  <si>
    <t>**  Other sources include state and/or federal aid, as well as cash from other funds or other reserve funds, debt financing, etc.</t>
  </si>
  <si>
    <t>Assumptions:</t>
  </si>
  <si>
    <t>.30 for infrastructure and equipment</t>
  </si>
  <si>
    <t>10 year sunset</t>
  </si>
  <si>
    <t>first year collections only 7months; last year collections only 5 months</t>
  </si>
  <si>
    <t>sales tax - 2010 projected revenue revised 4/15/2010; 2% annual growth beginning in 2011</t>
  </si>
  <si>
    <t xml:space="preserve">Base year 1-cent sales tax generates  </t>
  </si>
  <si>
    <t xml:space="preserve"> </t>
  </si>
  <si>
    <t>Unit 630 - Ladder - ($1,205,591)</t>
  </si>
  <si>
    <t>Unit 629 - Engine - ($651,065)</t>
  </si>
  <si>
    <t>Unit 615 - Quint - Replaced w/ Engine PUC - ($847,967)</t>
  </si>
  <si>
    <t>Unit 636 - Hazmat - eliminated &amp; replaced with Engine PUC</t>
  </si>
  <si>
    <t>Unit 612 - Quint - ($1,023,000)</t>
  </si>
  <si>
    <t>Unit 626 - Tender - ($675,000)</t>
  </si>
  <si>
    <t>Unit 614 - Quint - ($1,116,000)</t>
  </si>
  <si>
    <t>Unit 641 - Quint - ($1,302,000)</t>
  </si>
  <si>
    <t>Street Paint Machine ($55,000)</t>
  </si>
  <si>
    <t>$500,000 Utilities</t>
  </si>
  <si>
    <t>19th - Iowa to Naismith -($2,500,000)</t>
  </si>
  <si>
    <t>$750,000 Utilities</t>
  </si>
  <si>
    <t>0 Utilities</t>
  </si>
  <si>
    <t xml:space="preserve">               Foxfire to Gww  signifcant rehab </t>
  </si>
  <si>
    <t>Wakarusa - Research Parkway to 18th ($2,500,000)</t>
  </si>
  <si>
    <t>Engineering</t>
  </si>
  <si>
    <t>R/W</t>
  </si>
  <si>
    <t>Construction</t>
  </si>
  <si>
    <t>BBP - Iowa to Kasold - ($1,800,000)</t>
  </si>
  <si>
    <t>Wakarusa -Research to Oread West($1,100,000)</t>
  </si>
  <si>
    <t>Residential Street Maintenance</t>
  </si>
  <si>
    <t>Pavement Marking Paint</t>
  </si>
  <si>
    <t>Burroughs Creek Trail</t>
  </si>
  <si>
    <t>1,000,000 GO bond 2012 (Oread to Research)</t>
  </si>
  <si>
    <t>Haskell Rail Trail Improvements ($220,000)</t>
  </si>
  <si>
    <t>Kasold - BBP to 6th ($5,440,000)</t>
  </si>
  <si>
    <t>Wakarusa -Inverness/Legends to 6th ($3,525,000)</t>
  </si>
  <si>
    <t>if revenues exceed projections, additional infrastructure sales tax may be used for these projects</t>
  </si>
  <si>
    <t>Iowa and 23rd St. Intersection Improvements ($4,056,000)</t>
  </si>
  <si>
    <t xml:space="preserve">1,750,000 KDOT </t>
  </si>
  <si>
    <t>500,000(GO Bonds issued in 14)</t>
  </si>
  <si>
    <t>$1,000,000 G.O. Debt
$750,000 Utilities</t>
  </si>
  <si>
    <t>SCBA/PASS</t>
  </si>
  <si>
    <t>$600,000 GO Debt</t>
  </si>
  <si>
    <t>9th Street Corridor Project ($2,000,000)</t>
  </si>
  <si>
    <t>BBP-Wakarusa to Foxfire Rebuild ($1,200,000)</t>
  </si>
  <si>
    <t>31st Street, East of Ousdahl ($280,000)</t>
  </si>
  <si>
    <t>325,000 depot money</t>
  </si>
  <si>
    <t>6th and Iowa Intersection Improvements ($50,000)</t>
  </si>
  <si>
    <t>Estimated</t>
  </si>
  <si>
    <t>*** 2014 estimated is unaudited and subject to change</t>
  </si>
  <si>
    <t>2014***</t>
  </si>
  <si>
    <t>BBP - Kasold to Wakarusa ($2,250,000)</t>
  </si>
  <si>
    <t>Wakarusa through Inverness/Legends ($1,900,000)</t>
  </si>
  <si>
    <t>GWW &amp; Bob Billings Prkwy. Improvements ($770,000)</t>
  </si>
  <si>
    <t>general fund in 2014</t>
  </si>
  <si>
    <t>in 2013 CIP</t>
  </si>
  <si>
    <t>$175,000 State TE Grant; in 2014 CIP</t>
  </si>
  <si>
    <t>0 Utilities; in 2014 CIP</t>
  </si>
  <si>
    <t>in 2014 CIP, G.O. debt note issued in 2014</t>
  </si>
  <si>
    <t>in 2011 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</si>
</sst>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_);_(* \(#,##0.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sz val="9"/>
      <color indexed="12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165" fontId="3" fillId="3" borderId="0" xfId="1" applyNumberFormat="1" applyFont="1" applyFill="1" applyAlignment="1">
      <alignment horizontal="left"/>
    </xf>
    <xf numFmtId="164" fontId="3" fillId="3" borderId="0" xfId="1" applyNumberFormat="1" applyFont="1" applyFill="1"/>
    <xf numFmtId="165" fontId="3" fillId="3" borderId="0" xfId="1" applyNumberFormat="1" applyFont="1" applyFill="1"/>
    <xf numFmtId="164" fontId="3" fillId="3" borderId="1" xfId="1" applyNumberFormat="1" applyFont="1" applyFill="1" applyBorder="1"/>
    <xf numFmtId="164" fontId="3" fillId="3" borderId="0" xfId="1" applyNumberFormat="1" applyFont="1" applyFill="1" applyBorder="1"/>
    <xf numFmtId="164" fontId="6" fillId="3" borderId="1" xfId="1" applyNumberFormat="1" applyFont="1" applyFill="1" applyBorder="1"/>
    <xf numFmtId="164" fontId="7" fillId="3" borderId="0" xfId="1" applyNumberFormat="1" applyFont="1" applyFill="1" applyBorder="1"/>
    <xf numFmtId="164" fontId="7" fillId="4" borderId="0" xfId="1" applyNumberFormat="1" applyFont="1" applyFill="1" applyBorder="1"/>
    <xf numFmtId="164" fontId="7" fillId="3" borderId="0" xfId="1" applyNumberFormat="1" applyFont="1" applyFill="1"/>
    <xf numFmtId="164" fontId="3" fillId="4" borderId="0" xfId="1" applyNumberFormat="1" applyFont="1" applyFill="1"/>
    <xf numFmtId="164" fontId="3" fillId="4" borderId="0" xfId="1" applyNumberFormat="1" applyFont="1" applyFill="1" applyBorder="1"/>
    <xf numFmtId="164" fontId="6" fillId="3" borderId="0" xfId="1" applyNumberFormat="1" applyFont="1" applyFill="1" applyBorder="1"/>
    <xf numFmtId="165" fontId="6" fillId="3" borderId="1" xfId="1" applyNumberFormat="1" applyFont="1" applyFill="1" applyBorder="1"/>
    <xf numFmtId="164" fontId="6" fillId="3" borderId="3" xfId="1" applyNumberFormat="1" applyFont="1" applyFill="1" applyBorder="1"/>
    <xf numFmtId="2" fontId="3" fillId="3" borderId="4" xfId="1" applyNumberFormat="1" applyFont="1" applyFill="1" applyBorder="1"/>
    <xf numFmtId="164" fontId="3" fillId="3" borderId="4" xfId="1" applyNumberFormat="1" applyFont="1" applyFill="1" applyBorder="1"/>
    <xf numFmtId="164" fontId="6" fillId="4" borderId="1" xfId="1" applyNumberFormat="1" applyFont="1" applyFill="1" applyBorder="1"/>
    <xf numFmtId="164" fontId="7" fillId="4" borderId="0" xfId="1" applyNumberFormat="1" applyFont="1" applyFill="1"/>
    <xf numFmtId="164" fontId="6" fillId="4" borderId="0" xfId="1" applyNumberFormat="1" applyFont="1" applyFill="1" applyBorder="1"/>
    <xf numFmtId="164" fontId="3" fillId="4" borderId="4" xfId="1" applyNumberFormat="1" applyFont="1" applyFill="1" applyBorder="1"/>
    <xf numFmtId="164" fontId="6" fillId="3" borderId="5" xfId="1" applyNumberFormat="1" applyFont="1" applyFill="1" applyBorder="1"/>
    <xf numFmtId="164" fontId="3" fillId="3" borderId="5" xfId="1" applyNumberFormat="1" applyFont="1" applyFill="1" applyBorder="1"/>
    <xf numFmtId="164" fontId="3" fillId="4" borderId="5" xfId="1" applyNumberFormat="1" applyFont="1" applyFill="1" applyBorder="1"/>
    <xf numFmtId="165" fontId="3" fillId="3" borderId="5" xfId="1" applyNumberFormat="1" applyFont="1" applyFill="1" applyBorder="1"/>
    <xf numFmtId="164" fontId="3" fillId="3" borderId="6" xfId="1" applyNumberFormat="1" applyFont="1" applyFill="1" applyBorder="1"/>
    <xf numFmtId="164" fontId="3" fillId="4" borderId="6" xfId="1" applyNumberFormat="1" applyFont="1" applyFill="1" applyBorder="1"/>
    <xf numFmtId="165" fontId="3" fillId="3" borderId="6" xfId="1" applyNumberFormat="1" applyFont="1" applyFill="1" applyBorder="1"/>
    <xf numFmtId="164" fontId="3" fillId="3" borderId="7" xfId="1" applyNumberFormat="1" applyFont="1" applyFill="1" applyBorder="1"/>
    <xf numFmtId="164" fontId="3" fillId="4" borderId="7" xfId="1" applyNumberFormat="1" applyFont="1" applyFill="1" applyBorder="1"/>
    <xf numFmtId="165" fontId="3" fillId="3" borderId="7" xfId="1" applyNumberFormat="1" applyFont="1" applyFill="1" applyBorder="1"/>
    <xf numFmtId="164" fontId="3" fillId="3" borderId="8" xfId="1" applyNumberFormat="1" applyFont="1" applyFill="1" applyBorder="1"/>
    <xf numFmtId="164" fontId="3" fillId="4" borderId="8" xfId="1" applyNumberFormat="1" applyFont="1" applyFill="1" applyBorder="1"/>
    <xf numFmtId="165" fontId="3" fillId="3" borderId="8" xfId="1" applyNumberFormat="1" applyFont="1" applyFill="1" applyBorder="1"/>
    <xf numFmtId="165" fontId="3" fillId="3" borderId="5" xfId="1" applyNumberFormat="1" applyFont="1" applyFill="1" applyBorder="1" applyAlignment="1">
      <alignment horizontal="left"/>
    </xf>
    <xf numFmtId="165" fontId="3" fillId="3" borderId="7" xfId="1" applyNumberFormat="1" applyFont="1" applyFill="1" applyBorder="1" applyAlignment="1">
      <alignment horizontal="left" indent="1"/>
    </xf>
    <xf numFmtId="165" fontId="3" fillId="3" borderId="6" xfId="1" applyNumberFormat="1" applyFont="1" applyFill="1" applyBorder="1" applyAlignment="1">
      <alignment horizontal="left" indent="1"/>
    </xf>
    <xf numFmtId="167" fontId="3" fillId="3" borderId="7" xfId="1" applyNumberFormat="1" applyFont="1" applyFill="1" applyBorder="1" applyAlignment="1">
      <alignment horizontal="left" indent="3"/>
    </xf>
    <xf numFmtId="0" fontId="3" fillId="0" borderId="0" xfId="2" applyFont="1"/>
    <xf numFmtId="164" fontId="3" fillId="0" borderId="0" xfId="2" applyNumberFormat="1" applyFont="1"/>
    <xf numFmtId="164" fontId="3" fillId="3" borderId="0" xfId="2" applyNumberFormat="1" applyFont="1" applyFill="1"/>
    <xf numFmtId="0" fontId="3" fillId="3" borderId="0" xfId="2" applyFont="1" applyFill="1"/>
    <xf numFmtId="0" fontId="9" fillId="3" borderId="0" xfId="2" applyFont="1" applyFill="1"/>
    <xf numFmtId="0" fontId="6" fillId="3" borderId="0" xfId="2" applyFont="1" applyFill="1"/>
    <xf numFmtId="2" fontId="3" fillId="3" borderId="0" xfId="2" applyNumberFormat="1" applyFont="1" applyFill="1"/>
    <xf numFmtId="2" fontId="3" fillId="3" borderId="4" xfId="2" applyNumberFormat="1" applyFont="1" applyFill="1" applyBorder="1"/>
    <xf numFmtId="0" fontId="6" fillId="3" borderId="0" xfId="2" applyFont="1" applyFill="1" applyBorder="1" applyAlignment="1">
      <alignment wrapText="1"/>
    </xf>
    <xf numFmtId="1" fontId="2" fillId="2" borderId="3" xfId="2" applyNumberFormat="1" applyFont="1" applyFill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2" fillId="2" borderId="5" xfId="2" applyNumberFormat="1" applyFont="1" applyFill="1" applyBorder="1" applyAlignment="1">
      <alignment horizontal="center"/>
    </xf>
    <xf numFmtId="164" fontId="2" fillId="2" borderId="1" xfId="2" quotePrefix="1" applyNumberFormat="1" applyFont="1" applyFill="1" applyBorder="1" applyAlignment="1">
      <alignment horizontal="center"/>
    </xf>
    <xf numFmtId="0" fontId="2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164" fontId="3" fillId="4" borderId="0" xfId="2" applyNumberFormat="1" applyFont="1" applyFill="1" applyBorder="1"/>
    <xf numFmtId="0" fontId="3" fillId="4" borderId="0" xfId="2" applyFont="1" applyFill="1" applyBorder="1" applyAlignment="1">
      <alignment horizontal="left"/>
    </xf>
    <xf numFmtId="0" fontId="3" fillId="4" borderId="0" xfId="2" applyFont="1" applyFill="1"/>
    <xf numFmtId="164" fontId="3" fillId="4" borderId="0" xfId="2" applyNumberFormat="1" applyFont="1" applyFill="1"/>
    <xf numFmtId="0" fontId="3" fillId="4" borderId="0" xfId="2" applyFont="1" applyFill="1" applyAlignment="1">
      <alignment horizontal="left" indent="2"/>
    </xf>
    <xf numFmtId="0" fontId="3" fillId="3" borderId="0" xfId="2" applyFont="1" applyFill="1" applyAlignment="1">
      <alignment horizontal="left"/>
    </xf>
    <xf numFmtId="0" fontId="6" fillId="3" borderId="1" xfId="2" applyFont="1" applyFill="1" applyBorder="1" applyAlignment="1">
      <alignment horizontal="left"/>
    </xf>
    <xf numFmtId="0" fontId="8" fillId="3" borderId="0" xfId="2" applyFont="1" applyFill="1" applyAlignment="1">
      <alignment vertical="center" wrapText="1"/>
    </xf>
    <xf numFmtId="0" fontId="3" fillId="3" borderId="0" xfId="2" applyFont="1" applyFill="1" applyAlignment="1">
      <alignment horizontal="left" indent="2"/>
    </xf>
    <xf numFmtId="0" fontId="8" fillId="3" borderId="0" xfId="2" applyFont="1" applyFill="1" applyAlignment="1">
      <alignment horizontal="left" vertical="center" wrapText="1" indent="2"/>
    </xf>
    <xf numFmtId="166" fontId="3" fillId="3" borderId="0" xfId="3" applyNumberFormat="1" applyFont="1" applyFill="1"/>
    <xf numFmtId="164" fontId="3" fillId="3" borderId="0" xfId="2" applyNumberFormat="1" applyFont="1" applyFill="1" applyBorder="1"/>
    <xf numFmtId="0" fontId="6" fillId="3" borderId="5" xfId="2" applyFont="1" applyFill="1" applyBorder="1"/>
    <xf numFmtId="0" fontId="6" fillId="3" borderId="5" xfId="2" applyFont="1" applyFill="1" applyBorder="1" applyAlignment="1">
      <alignment horizontal="left"/>
    </xf>
    <xf numFmtId="0" fontId="5" fillId="3" borderId="6" xfId="2" applyFont="1" applyFill="1" applyBorder="1"/>
    <xf numFmtId="164" fontId="5" fillId="3" borderId="6" xfId="2" applyNumberFormat="1" applyFont="1" applyFill="1" applyBorder="1"/>
    <xf numFmtId="164" fontId="3" fillId="3" borderId="6" xfId="2" applyNumberFormat="1" applyFont="1" applyFill="1" applyBorder="1"/>
    <xf numFmtId="0" fontId="3" fillId="3" borderId="7" xfId="2" applyFont="1" applyFill="1" applyBorder="1"/>
    <xf numFmtId="164" fontId="3" fillId="3" borderId="7" xfId="2" applyNumberFormat="1" applyFont="1" applyFill="1" applyBorder="1"/>
    <xf numFmtId="0" fontId="3" fillId="3" borderId="8" xfId="2" applyFont="1" applyFill="1" applyBorder="1"/>
    <xf numFmtId="164" fontId="3" fillId="3" borderId="8" xfId="2" applyNumberFormat="1" applyFont="1" applyFill="1" applyBorder="1"/>
    <xf numFmtId="0" fontId="5" fillId="3" borderId="7" xfId="2" applyFont="1" applyFill="1" applyBorder="1"/>
    <xf numFmtId="164" fontId="5" fillId="3" borderId="7" xfId="2" applyNumberFormat="1" applyFont="1" applyFill="1" applyBorder="1"/>
    <xf numFmtId="0" fontId="5" fillId="3" borderId="6" xfId="2" applyFont="1" applyFill="1" applyBorder="1" applyAlignment="1">
      <alignment wrapText="1"/>
    </xf>
    <xf numFmtId="3" fontId="3" fillId="3" borderId="7" xfId="2" applyNumberFormat="1" applyFont="1" applyFill="1" applyBorder="1"/>
    <xf numFmtId="0" fontId="10" fillId="3" borderId="8" xfId="2" applyFont="1" applyFill="1" applyBorder="1"/>
    <xf numFmtId="164" fontId="3" fillId="3" borderId="5" xfId="2" applyNumberFormat="1" applyFont="1" applyFill="1" applyBorder="1"/>
    <xf numFmtId="0" fontId="5" fillId="3" borderId="5" xfId="2" applyFont="1" applyFill="1" applyBorder="1"/>
    <xf numFmtId="164" fontId="5" fillId="3" borderId="5" xfId="2" applyNumberFormat="1" applyFont="1" applyFill="1" applyBorder="1"/>
    <xf numFmtId="0" fontId="3" fillId="3" borderId="5" xfId="2" applyFont="1" applyFill="1" applyBorder="1"/>
    <xf numFmtId="0" fontId="3" fillId="3" borderId="6" xfId="2" applyFont="1" applyFill="1" applyBorder="1"/>
    <xf numFmtId="164" fontId="3" fillId="3" borderId="7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3" fillId="4" borderId="8" xfId="2" applyFont="1" applyFill="1" applyBorder="1"/>
    <xf numFmtId="164" fontId="3" fillId="4" borderId="7" xfId="2" applyNumberFormat="1" applyFont="1" applyFill="1" applyBorder="1"/>
    <xf numFmtId="0" fontId="3" fillId="3" borderId="8" xfId="2" applyFont="1" applyFill="1" applyBorder="1" applyAlignment="1">
      <alignment horizontal="left" indent="1"/>
    </xf>
    <xf numFmtId="0" fontId="3" fillId="3" borderId="9" xfId="2" applyFont="1" applyFill="1" applyBorder="1"/>
    <xf numFmtId="0" fontId="3" fillId="3" borderId="5" xfId="2" applyFont="1" applyFill="1" applyBorder="1" applyAlignment="1">
      <alignment horizontal="left" indent="1"/>
    </xf>
    <xf numFmtId="0" fontId="3" fillId="0" borderId="9" xfId="2" applyFont="1" applyBorder="1"/>
    <xf numFmtId="164" fontId="2" fillId="2" borderId="5" xfId="2" quotePrefix="1" applyNumberFormat="1" applyFont="1" applyFill="1" applyBorder="1" applyAlignment="1">
      <alignment horizontal="center"/>
    </xf>
    <xf numFmtId="0" fontId="2" fillId="2" borderId="5" xfId="2" applyFont="1" applyFill="1" applyBorder="1"/>
    <xf numFmtId="164" fontId="2" fillId="2" borderId="5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3" fillId="3" borderId="10" xfId="2" applyFont="1" applyFill="1" applyBorder="1"/>
    <xf numFmtId="0" fontId="3" fillId="0" borderId="0" xfId="2" applyFont="1" applyBorder="1"/>
    <xf numFmtId="1" fontId="2" fillId="5" borderId="5" xfId="2" applyNumberFormat="1" applyFont="1" applyFill="1" applyBorder="1" applyAlignment="1">
      <alignment horizontal="center"/>
    </xf>
    <xf numFmtId="164" fontId="3" fillId="0" borderId="5" xfId="1" applyNumberFormat="1" applyFont="1" applyFill="1" applyBorder="1"/>
    <xf numFmtId="164" fontId="3" fillId="0" borderId="8" xfId="1" applyNumberFormat="1" applyFont="1" applyFill="1" applyBorder="1"/>
    <xf numFmtId="164" fontId="3" fillId="0" borderId="7" xfId="1" applyNumberFormat="1" applyFont="1" applyFill="1" applyBorder="1"/>
    <xf numFmtId="164" fontId="3" fillId="0" borderId="6" xfId="1" applyNumberFormat="1" applyFont="1" applyFill="1" applyBorder="1"/>
    <xf numFmtId="164" fontId="3" fillId="0" borderId="7" xfId="2" applyNumberFormat="1" applyFont="1" applyFill="1" applyBorder="1"/>
    <xf numFmtId="164" fontId="3" fillId="0" borderId="7" xfId="2" applyNumberFormat="1" applyFont="1" applyFill="1" applyBorder="1" applyAlignment="1">
      <alignment horizontal="right"/>
    </xf>
    <xf numFmtId="164" fontId="3" fillId="0" borderId="6" xfId="2" applyNumberFormat="1" applyFont="1" applyFill="1" applyBorder="1"/>
    <xf numFmtId="164" fontId="3" fillId="0" borderId="5" xfId="2" applyNumberFormat="1" applyFont="1" applyFill="1" applyBorder="1"/>
    <xf numFmtId="0" fontId="8" fillId="3" borderId="0" xfId="2" applyFont="1" applyFill="1" applyAlignment="1">
      <alignment horizontal="center" vertical="center" wrapText="1"/>
    </xf>
  </cellXfs>
  <cellStyles count="4">
    <cellStyle name="Comma 2" xfId="1"/>
    <cellStyle name="Currency 2" xfId="3"/>
    <cellStyle name="Normal" xfId="0" builtinId="0"/>
    <cellStyle name="Normal 2" xfId="2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1071565</xdr:colOff>
      <xdr:row>84</xdr:row>
      <xdr:rowOff>138115</xdr:rowOff>
    </xdr:from>
    <xdr:to>
      <xdr:col>16</xdr:col>
      <xdr:colOff>204791</xdr:colOff>
      <xdr:row>88</xdr:row>
      <xdr:rowOff>9527</xdr:rowOff>
    </xdr:to>
    <xdr:sp macro="" textlink="">
      <xdr:nvSpPr>
        <xdr:cNvPr id="2" name="Right Brace 1"/>
        <xdr:cNvSpPr/>
      </xdr:nvSpPr>
      <xdr:spPr>
        <a:xfrm>
          <a:off x="9748840" y="13739815"/>
          <a:ext cx="209551" cy="519112"/>
        </a:xfrm>
        <a:prstGeom prst="rightBrace">
          <a:avLst>
            <a:gd name="adj1" fmla="val 25574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24"/>
  <sheetViews>
    <sheetView tabSelected="1" zoomScaleNormal="100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13" sqref="F113"/>
    </sheetView>
  </sheetViews>
  <sheetFormatPr defaultRowHeight="12" x14ac:dyDescent="0.2"/>
  <cols>
    <col min="1" max="1" width="46.85546875" style="38" customWidth="1"/>
    <col min="2" max="2" width="12.140625" style="39" customWidth="1"/>
    <col min="3" max="3" width="12.5703125" style="40" customWidth="1"/>
    <col min="4" max="4" width="11.7109375" style="39" customWidth="1"/>
    <col min="5" max="5" width="12.28515625" style="39" customWidth="1"/>
    <col min="6" max="6" width="10.42578125" style="39" bestFit="1" customWidth="1"/>
    <col min="7" max="7" width="12.28515625" style="39" customWidth="1"/>
    <col min="8" max="10" width="12.42578125" style="39" bestFit="1" customWidth="1"/>
    <col min="11" max="11" width="14" style="39" bestFit="1" customWidth="1"/>
    <col min="12" max="13" width="12.140625" style="39" bestFit="1" customWidth="1"/>
    <col min="14" max="14" width="13.5703125" style="39" bestFit="1" customWidth="1"/>
    <col min="15" max="15" width="13.42578125" style="39" bestFit="1" customWidth="1"/>
    <col min="16" max="16" width="17.140625" style="38" bestFit="1" customWidth="1"/>
    <col min="17" max="17" width="35.140625" style="38" customWidth="1"/>
    <col min="18" max="16384" width="9.140625" style="38"/>
  </cols>
  <sheetData>
    <row r="1" spans="1:17" x14ac:dyDescent="0.2">
      <c r="A1" s="94" t="s">
        <v>0</v>
      </c>
      <c r="B1" s="95" t="s">
        <v>1</v>
      </c>
      <c r="C1" s="95" t="s">
        <v>1</v>
      </c>
      <c r="D1" s="95" t="s">
        <v>1</v>
      </c>
      <c r="E1" s="95" t="s">
        <v>1</v>
      </c>
      <c r="F1" s="95" t="s">
        <v>1</v>
      </c>
      <c r="G1" s="95" t="s">
        <v>2</v>
      </c>
      <c r="H1" s="95" t="s">
        <v>92</v>
      </c>
      <c r="I1" s="95" t="s">
        <v>2</v>
      </c>
      <c r="J1" s="95" t="s">
        <v>92</v>
      </c>
      <c r="K1" s="95" t="s">
        <v>2</v>
      </c>
      <c r="L1" s="95" t="s">
        <v>2</v>
      </c>
      <c r="M1" s="95" t="s">
        <v>2</v>
      </c>
      <c r="N1" s="95" t="s">
        <v>2</v>
      </c>
      <c r="O1" s="95" t="s">
        <v>2</v>
      </c>
      <c r="P1" s="92"/>
      <c r="Q1" s="98"/>
    </row>
    <row r="2" spans="1:17" x14ac:dyDescent="0.2">
      <c r="A2" s="94" t="s">
        <v>3</v>
      </c>
      <c r="B2" s="93" t="s">
        <v>4</v>
      </c>
      <c r="C2" s="50">
        <v>2010</v>
      </c>
      <c r="D2" s="50">
        <v>2011</v>
      </c>
      <c r="E2" s="50">
        <v>2012</v>
      </c>
      <c r="F2" s="50">
        <v>2013</v>
      </c>
      <c r="G2" s="50">
        <v>2014</v>
      </c>
      <c r="H2" s="50" t="s">
        <v>94</v>
      </c>
      <c r="I2" s="50">
        <v>2015</v>
      </c>
      <c r="J2" s="50">
        <v>2015</v>
      </c>
      <c r="K2" s="50">
        <v>2016</v>
      </c>
      <c r="L2" s="50">
        <v>2017</v>
      </c>
      <c r="M2" s="50">
        <v>2018</v>
      </c>
      <c r="N2" s="50">
        <v>2019</v>
      </c>
      <c r="O2" s="50" t="s">
        <v>5</v>
      </c>
      <c r="P2" s="92"/>
      <c r="Q2" s="98"/>
    </row>
    <row r="3" spans="1:17" s="41" customFormat="1" x14ac:dyDescent="0.2">
      <c r="A3" s="34" t="s">
        <v>6</v>
      </c>
      <c r="B3" s="22">
        <v>1889133</v>
      </c>
      <c r="C3" s="22">
        <f>3999351-C73</f>
        <v>3499351</v>
      </c>
      <c r="D3" s="23">
        <v>2721757</v>
      </c>
      <c r="E3" s="22">
        <f>4448990-E73</f>
        <v>4143990</v>
      </c>
      <c r="F3" s="22">
        <f>4521382-F73</f>
        <v>4271382</v>
      </c>
      <c r="G3" s="22">
        <f>G98-G73</f>
        <v>4369150</v>
      </c>
      <c r="H3" s="22">
        <v>4268865</v>
      </c>
      <c r="I3" s="22">
        <f>4767440-I73</f>
        <v>3917440</v>
      </c>
      <c r="J3" s="22">
        <f>+H3*1.025</f>
        <v>4375586.625</v>
      </c>
      <c r="K3" s="22">
        <f>I98*1.02-K73</f>
        <v>4862788.8</v>
      </c>
      <c r="L3" s="22">
        <f>K98*1.02-L73</f>
        <v>4960044.5760000004</v>
      </c>
      <c r="M3" s="22">
        <f>L98*1.02-M73</f>
        <v>5059245.4675200004</v>
      </c>
      <c r="N3" s="22">
        <f>((M98*1.02)/12*5)-N73</f>
        <v>2150179.323696</v>
      </c>
      <c r="O3" s="80">
        <f>SUM(B3:N3)-G3</f>
        <v>46119762.792215995</v>
      </c>
      <c r="P3" s="90"/>
      <c r="Q3" s="96"/>
    </row>
    <row r="4" spans="1:17" s="41" customFormat="1" x14ac:dyDescent="0.2">
      <c r="A4" s="24"/>
      <c r="B4" s="22"/>
      <c r="C4" s="22"/>
      <c r="D4" s="23"/>
      <c r="E4" s="22"/>
      <c r="F4" s="22"/>
      <c r="G4" s="22"/>
      <c r="H4" s="22"/>
      <c r="I4" s="22"/>
      <c r="J4" s="22"/>
      <c r="K4" s="22"/>
      <c r="L4" s="22"/>
      <c r="M4" s="22"/>
      <c r="N4" s="80"/>
      <c r="O4" s="80"/>
      <c r="P4" s="97"/>
      <c r="Q4" s="96"/>
    </row>
    <row r="5" spans="1:17" x14ac:dyDescent="0.2">
      <c r="A5" s="94" t="s">
        <v>7</v>
      </c>
      <c r="B5" s="95" t="s">
        <v>1</v>
      </c>
      <c r="C5" s="95" t="s">
        <v>1</v>
      </c>
      <c r="D5" s="95" t="s">
        <v>1</v>
      </c>
      <c r="E5" s="95" t="str">
        <f>E1</f>
        <v>Actual</v>
      </c>
      <c r="F5" s="95" t="str">
        <f>F1</f>
        <v>Actual</v>
      </c>
      <c r="G5" s="95" t="s">
        <v>2</v>
      </c>
      <c r="H5" s="95" t="str">
        <f>H1</f>
        <v>Estimated</v>
      </c>
      <c r="I5" s="95" t="s">
        <v>2</v>
      </c>
      <c r="J5" s="95" t="s">
        <v>92</v>
      </c>
      <c r="K5" s="95" t="s">
        <v>2</v>
      </c>
      <c r="L5" s="95" t="s">
        <v>2</v>
      </c>
      <c r="M5" s="95" t="s">
        <v>2</v>
      </c>
      <c r="N5" s="95" t="s">
        <v>2</v>
      </c>
      <c r="O5" s="95" t="s">
        <v>2</v>
      </c>
      <c r="P5" s="50" t="s">
        <v>8</v>
      </c>
      <c r="Q5" s="92"/>
    </row>
    <row r="6" spans="1:17" ht="15.75" x14ac:dyDescent="0.25">
      <c r="A6" s="94" t="s">
        <v>3</v>
      </c>
      <c r="B6" s="93" t="s">
        <v>4</v>
      </c>
      <c r="C6" s="50">
        <v>2010</v>
      </c>
      <c r="D6" s="50">
        <v>2011</v>
      </c>
      <c r="E6" s="50">
        <f>E2</f>
        <v>2012</v>
      </c>
      <c r="F6" s="50">
        <f>F2</f>
        <v>2013</v>
      </c>
      <c r="G6" s="50">
        <f>G2</f>
        <v>2014</v>
      </c>
      <c r="H6" s="99" t="str">
        <f>H2</f>
        <v>2014***</v>
      </c>
      <c r="I6" s="50" t="s">
        <v>10</v>
      </c>
      <c r="J6" s="50" t="s">
        <v>10</v>
      </c>
      <c r="K6" s="50" t="s">
        <v>11</v>
      </c>
      <c r="L6" s="50" t="s">
        <v>12</v>
      </c>
      <c r="M6" s="50" t="s">
        <v>13</v>
      </c>
      <c r="N6" s="50" t="s">
        <v>14</v>
      </c>
      <c r="O6" s="50" t="s">
        <v>15</v>
      </c>
      <c r="P6" s="50" t="s">
        <v>16</v>
      </c>
      <c r="Q6" s="92"/>
    </row>
    <row r="7" spans="1:17" s="41" customFormat="1" x14ac:dyDescent="0.2">
      <c r="A7" s="91" t="s">
        <v>73</v>
      </c>
      <c r="B7" s="22">
        <v>280888</v>
      </c>
      <c r="C7" s="22">
        <v>500000</v>
      </c>
      <c r="D7" s="23">
        <f>50000+500000</f>
        <v>550000</v>
      </c>
      <c r="E7" s="22">
        <v>1987666</v>
      </c>
      <c r="F7" s="22">
        <v>976049</v>
      </c>
      <c r="G7" s="22">
        <v>800000</v>
      </c>
      <c r="H7" s="100">
        <v>860446</v>
      </c>
      <c r="I7" s="22">
        <f>G7+180161</f>
        <v>980161</v>
      </c>
      <c r="J7" s="22">
        <v>980161</v>
      </c>
      <c r="K7" s="22">
        <f>800000</f>
        <v>800000</v>
      </c>
      <c r="L7" s="22">
        <f>K7</f>
        <v>800000</v>
      </c>
      <c r="M7" s="22">
        <f>L7</f>
        <v>800000</v>
      </c>
      <c r="N7" s="22">
        <f>500000/12*5+10779+300000</f>
        <v>519112.33333333331</v>
      </c>
      <c r="O7" s="22">
        <f>SUM(B7:N7)-G7-J7</f>
        <v>9054322.333333334</v>
      </c>
      <c r="P7" s="22"/>
      <c r="Q7" s="90"/>
    </row>
    <row r="8" spans="1:17" s="41" customFormat="1" x14ac:dyDescent="0.2">
      <c r="A8" s="91" t="s">
        <v>74</v>
      </c>
      <c r="B8" s="22"/>
      <c r="C8" s="22"/>
      <c r="D8" s="23"/>
      <c r="E8" s="22">
        <f>18045</f>
        <v>18045</v>
      </c>
      <c r="F8" s="22"/>
      <c r="G8" s="22"/>
      <c r="H8" s="100"/>
      <c r="I8" s="22"/>
      <c r="J8" s="22"/>
      <c r="K8" s="22"/>
      <c r="L8" s="22"/>
      <c r="M8" s="22"/>
      <c r="N8" s="22"/>
      <c r="O8" s="22">
        <f>SUM(B8:N8)</f>
        <v>18045</v>
      </c>
      <c r="P8" s="22"/>
      <c r="Q8" s="90"/>
    </row>
    <row r="9" spans="1:17" s="41" customFormat="1" x14ac:dyDescent="0.2">
      <c r="A9" s="91" t="s">
        <v>75</v>
      </c>
      <c r="B9" s="22">
        <v>188751</v>
      </c>
      <c r="C9" s="22">
        <v>77881.59</v>
      </c>
      <c r="D9" s="23"/>
      <c r="E9" s="22"/>
      <c r="F9" s="22"/>
      <c r="G9" s="22"/>
      <c r="H9" s="100"/>
      <c r="I9" s="22"/>
      <c r="J9" s="22"/>
      <c r="K9" s="22"/>
      <c r="L9" s="22"/>
      <c r="M9" s="22"/>
      <c r="N9" s="80"/>
      <c r="O9" s="22">
        <f>SUM(B9:N9)</f>
        <v>266632.58999999997</v>
      </c>
      <c r="P9" s="80"/>
      <c r="Q9" s="90"/>
    </row>
    <row r="10" spans="1:17" s="41" customFormat="1" x14ac:dyDescent="0.2">
      <c r="A10" s="89" t="s">
        <v>17</v>
      </c>
      <c r="B10" s="31"/>
      <c r="C10" s="31"/>
      <c r="D10" s="32"/>
      <c r="E10" s="74"/>
      <c r="F10" s="31"/>
      <c r="G10" s="31"/>
      <c r="H10" s="101"/>
      <c r="I10" s="31"/>
      <c r="J10" s="31"/>
      <c r="K10" s="31"/>
      <c r="L10" s="31"/>
      <c r="M10" s="31"/>
      <c r="N10" s="74"/>
      <c r="O10" s="74"/>
      <c r="P10" s="74"/>
      <c r="Q10" s="73" t="s">
        <v>18</v>
      </c>
    </row>
    <row r="11" spans="1:17" s="41" customFormat="1" x14ac:dyDescent="0.2">
      <c r="A11" s="35" t="s">
        <v>19</v>
      </c>
      <c r="B11" s="28">
        <v>250740</v>
      </c>
      <c r="C11" s="28">
        <f>201310</f>
        <v>201310</v>
      </c>
      <c r="D11" s="29"/>
      <c r="E11" s="72"/>
      <c r="F11" s="28"/>
      <c r="G11" s="28"/>
      <c r="H11" s="102"/>
      <c r="I11" s="28"/>
      <c r="J11" s="28"/>
      <c r="K11" s="28"/>
      <c r="L11" s="28"/>
      <c r="M11" s="28"/>
      <c r="N11" s="72"/>
      <c r="O11" s="72"/>
      <c r="P11" s="72"/>
      <c r="Q11" s="71"/>
    </row>
    <row r="12" spans="1:17" s="41" customFormat="1" x14ac:dyDescent="0.2">
      <c r="A12" s="35" t="s">
        <v>20</v>
      </c>
      <c r="B12" s="28"/>
      <c r="C12" s="28">
        <v>100781.35</v>
      </c>
      <c r="D12" s="29">
        <v>-32297</v>
      </c>
      <c r="E12" s="72"/>
      <c r="F12" s="28"/>
      <c r="G12" s="28"/>
      <c r="H12" s="102"/>
      <c r="I12" s="28"/>
      <c r="J12" s="28"/>
      <c r="K12" s="28"/>
      <c r="L12" s="28"/>
      <c r="M12" s="28"/>
      <c r="N12" s="72"/>
      <c r="O12" s="72"/>
      <c r="P12" s="72"/>
      <c r="Q12" s="71"/>
    </row>
    <row r="13" spans="1:17" s="41" customFormat="1" x14ac:dyDescent="0.2">
      <c r="A13" s="36" t="s">
        <v>21</v>
      </c>
      <c r="B13" s="25"/>
      <c r="C13" s="25">
        <f>1665000</f>
        <v>1665000</v>
      </c>
      <c r="D13" s="26">
        <v>1523600</v>
      </c>
      <c r="E13" s="70"/>
      <c r="F13" s="25"/>
      <c r="G13" s="25"/>
      <c r="H13" s="103"/>
      <c r="I13" s="25">
        <v>300000</v>
      </c>
      <c r="J13" s="25">
        <v>300000</v>
      </c>
      <c r="K13" s="25"/>
      <c r="L13" s="25"/>
      <c r="M13" s="25"/>
      <c r="N13" s="70"/>
      <c r="O13" s="70">
        <f>SUM(B10:N13)-J13</f>
        <v>4009134.3499999996</v>
      </c>
      <c r="P13" s="70">
        <f>4878411-O13</f>
        <v>869276.65000000037</v>
      </c>
      <c r="Q13" s="70" t="s">
        <v>103</v>
      </c>
    </row>
    <row r="14" spans="1:17" s="41" customFormat="1" x14ac:dyDescent="0.2">
      <c r="A14" s="33" t="s">
        <v>22</v>
      </c>
      <c r="B14" s="31"/>
      <c r="C14" s="31"/>
      <c r="D14" s="32"/>
      <c r="E14" s="74"/>
      <c r="F14" s="31"/>
      <c r="G14" s="31"/>
      <c r="H14" s="101"/>
      <c r="I14" s="31"/>
      <c r="J14" s="31"/>
      <c r="K14" s="31"/>
      <c r="L14" s="31"/>
      <c r="M14" s="31"/>
      <c r="N14" s="74"/>
      <c r="O14" s="74"/>
      <c r="P14" s="74"/>
      <c r="Q14" s="73"/>
    </row>
    <row r="15" spans="1:17" s="41" customFormat="1" x14ac:dyDescent="0.2">
      <c r="A15" s="30" t="s">
        <v>23</v>
      </c>
      <c r="B15" s="28"/>
      <c r="C15" s="72"/>
      <c r="D15" s="88"/>
      <c r="E15" s="72"/>
      <c r="F15" s="72">
        <v>170136</v>
      </c>
      <c r="G15" s="28"/>
      <c r="H15" s="102">
        <v>278439</v>
      </c>
      <c r="I15" s="28"/>
      <c r="J15" s="28"/>
      <c r="K15" s="28"/>
      <c r="L15" s="28"/>
      <c r="M15" s="28"/>
      <c r="N15" s="72"/>
      <c r="O15" s="72"/>
      <c r="P15" s="72"/>
      <c r="Q15" s="71"/>
    </row>
    <row r="16" spans="1:17" s="41" customFormat="1" x14ac:dyDescent="0.2">
      <c r="A16" s="30" t="s">
        <v>20</v>
      </c>
      <c r="B16" s="28"/>
      <c r="C16" s="28">
        <v>100000</v>
      </c>
      <c r="D16" s="29"/>
      <c r="E16" s="72"/>
      <c r="F16" s="72"/>
      <c r="G16" s="72"/>
      <c r="H16" s="104"/>
      <c r="I16" s="72"/>
      <c r="J16" s="72"/>
      <c r="K16" s="28"/>
      <c r="L16" s="28"/>
      <c r="M16" s="28"/>
      <c r="N16" s="72"/>
      <c r="O16" s="72"/>
      <c r="P16" s="72"/>
      <c r="Q16" s="71"/>
    </row>
    <row r="17" spans="1:17" s="41" customFormat="1" x14ac:dyDescent="0.2">
      <c r="A17" s="27" t="s">
        <v>21</v>
      </c>
      <c r="B17" s="25"/>
      <c r="C17" s="25"/>
      <c r="D17" s="26"/>
      <c r="E17" s="70"/>
      <c r="F17" s="25"/>
      <c r="G17" s="25"/>
      <c r="H17" s="103"/>
      <c r="I17" s="25">
        <v>4451425</v>
      </c>
      <c r="J17" s="25">
        <v>4451425</v>
      </c>
      <c r="K17" s="25"/>
      <c r="L17" s="25"/>
      <c r="M17" s="25"/>
      <c r="N17" s="70"/>
      <c r="O17" s="70">
        <f>SUM(B14:N17)-J17</f>
        <v>5000000</v>
      </c>
      <c r="P17" s="70">
        <f>5000000-O17</f>
        <v>0</v>
      </c>
      <c r="Q17" s="84"/>
    </row>
    <row r="18" spans="1:17" s="41" customFormat="1" x14ac:dyDescent="0.2">
      <c r="A18" s="33" t="s">
        <v>71</v>
      </c>
      <c r="B18" s="31"/>
      <c r="C18" s="31"/>
      <c r="D18" s="87"/>
      <c r="E18" s="73"/>
      <c r="F18" s="73"/>
      <c r="G18" s="31"/>
      <c r="H18" s="101"/>
      <c r="I18" s="31"/>
      <c r="J18" s="31"/>
      <c r="K18" s="31"/>
      <c r="L18" s="31"/>
      <c r="M18" s="31"/>
      <c r="N18" s="31"/>
      <c r="O18" s="74"/>
      <c r="P18" s="74"/>
      <c r="Q18" s="73"/>
    </row>
    <row r="19" spans="1:17" s="41" customFormat="1" x14ac:dyDescent="0.2">
      <c r="A19" s="30" t="s">
        <v>19</v>
      </c>
      <c r="B19" s="28"/>
      <c r="C19" s="28"/>
      <c r="D19" s="86"/>
      <c r="E19" s="28"/>
      <c r="F19" s="85"/>
      <c r="G19" s="28"/>
      <c r="H19" s="102"/>
      <c r="I19" s="28"/>
      <c r="J19" s="28"/>
      <c r="K19" s="28"/>
      <c r="L19" s="72"/>
      <c r="M19" s="71"/>
      <c r="N19" s="71"/>
      <c r="O19" s="72"/>
      <c r="P19" s="72"/>
      <c r="Q19" s="71"/>
    </row>
    <row r="20" spans="1:17" s="41" customFormat="1" x14ac:dyDescent="0.2">
      <c r="A20" s="30" t="s">
        <v>20</v>
      </c>
      <c r="B20" s="28"/>
      <c r="C20" s="28"/>
      <c r="D20" s="86"/>
      <c r="E20" s="28"/>
      <c r="F20" s="28"/>
      <c r="G20" s="28"/>
      <c r="H20" s="102"/>
      <c r="I20" s="28"/>
      <c r="J20" s="28"/>
      <c r="K20" s="28"/>
      <c r="L20" s="72"/>
      <c r="M20" s="71"/>
      <c r="N20" s="71"/>
      <c r="O20" s="72"/>
      <c r="P20" s="72"/>
      <c r="Q20" s="71"/>
    </row>
    <row r="21" spans="1:17" s="41" customFormat="1" x14ac:dyDescent="0.2">
      <c r="A21" s="27" t="s">
        <v>21</v>
      </c>
      <c r="B21" s="25"/>
      <c r="C21" s="25"/>
      <c r="D21" s="26"/>
      <c r="E21" s="25"/>
      <c r="F21" s="25">
        <v>1265653</v>
      </c>
      <c r="G21" s="25"/>
      <c r="H21" s="103"/>
      <c r="I21" s="25"/>
      <c r="J21" s="25"/>
      <c r="K21" s="25"/>
      <c r="L21" s="70"/>
      <c r="M21" s="84"/>
      <c r="N21" s="84"/>
      <c r="O21" s="70">
        <f>SUM(B18:N21)</f>
        <v>1265653</v>
      </c>
      <c r="P21" s="69">
        <f>1800000-O21</f>
        <v>534347</v>
      </c>
      <c r="Q21" s="68" t="s">
        <v>24</v>
      </c>
    </row>
    <row r="22" spans="1:17" s="41" customFormat="1" x14ac:dyDescent="0.2">
      <c r="A22" s="33" t="s">
        <v>72</v>
      </c>
      <c r="B22" s="31"/>
      <c r="C22" s="31"/>
      <c r="D22" s="32"/>
      <c r="E22" s="31"/>
      <c r="F22" s="74"/>
      <c r="G22" s="31"/>
      <c r="H22" s="101"/>
      <c r="I22" s="31"/>
      <c r="J22" s="31"/>
      <c r="K22" s="31"/>
      <c r="L22" s="31"/>
      <c r="M22" s="31"/>
      <c r="N22" s="31"/>
      <c r="O22" s="74"/>
      <c r="P22" s="74"/>
      <c r="Q22" s="73" t="s">
        <v>76</v>
      </c>
    </row>
    <row r="23" spans="1:17" s="41" customFormat="1" x14ac:dyDescent="0.2">
      <c r="A23" s="30" t="s">
        <v>19</v>
      </c>
      <c r="B23" s="28"/>
      <c r="C23" s="28"/>
      <c r="D23" s="29"/>
      <c r="E23" s="28"/>
      <c r="F23" s="85"/>
      <c r="G23" s="85" t="s">
        <v>52</v>
      </c>
      <c r="H23" s="105"/>
      <c r="I23" s="28"/>
      <c r="J23" s="28"/>
      <c r="K23" s="28"/>
      <c r="L23" s="71"/>
      <c r="M23" s="28"/>
      <c r="N23" s="28"/>
      <c r="O23" s="72"/>
      <c r="P23" s="72"/>
      <c r="Q23" s="75" t="s">
        <v>26</v>
      </c>
    </row>
    <row r="24" spans="1:17" s="41" customFormat="1" x14ac:dyDescent="0.2">
      <c r="A24" s="30" t="s">
        <v>20</v>
      </c>
      <c r="B24" s="28"/>
      <c r="C24" s="28"/>
      <c r="D24" s="29"/>
      <c r="E24" s="71"/>
      <c r="F24" s="71"/>
      <c r="G24" s="28" t="s">
        <v>52</v>
      </c>
      <c r="H24" s="102"/>
      <c r="I24" s="28"/>
      <c r="J24" s="28"/>
      <c r="K24" s="28"/>
      <c r="L24" s="71"/>
      <c r="M24" s="28"/>
      <c r="N24" s="28"/>
      <c r="O24" s="72"/>
      <c r="P24" s="72"/>
      <c r="Q24" s="71"/>
    </row>
    <row r="25" spans="1:17" s="41" customFormat="1" x14ac:dyDescent="0.2">
      <c r="A25" s="27" t="s">
        <v>21</v>
      </c>
      <c r="B25" s="25"/>
      <c r="C25" s="25"/>
      <c r="D25" s="26"/>
      <c r="E25" s="84"/>
      <c r="F25" s="25">
        <v>92143</v>
      </c>
      <c r="G25" s="70" t="s">
        <v>52</v>
      </c>
      <c r="H25" s="106"/>
      <c r="I25" s="25" t="s">
        <v>52</v>
      </c>
      <c r="J25" s="25"/>
      <c r="K25" s="25" t="s">
        <v>52</v>
      </c>
      <c r="L25" s="84"/>
      <c r="M25" s="25"/>
      <c r="N25" s="25"/>
      <c r="O25" s="70">
        <f>SUM(B22:N25)</f>
        <v>92143</v>
      </c>
      <c r="P25" s="69">
        <f>1100000-O25</f>
        <v>1007857</v>
      </c>
      <c r="Q25" s="68"/>
    </row>
    <row r="26" spans="1:17" s="41" customFormat="1" x14ac:dyDescent="0.2">
      <c r="A26" s="30" t="s">
        <v>81</v>
      </c>
      <c r="B26" s="28"/>
      <c r="C26" s="28"/>
      <c r="D26" s="29"/>
      <c r="E26" s="71"/>
      <c r="F26" s="28"/>
      <c r="G26" s="72"/>
      <c r="H26" s="104"/>
      <c r="I26" s="28"/>
      <c r="J26" s="28"/>
      <c r="K26" s="28"/>
      <c r="L26" s="71"/>
      <c r="M26" s="28"/>
      <c r="N26" s="28"/>
      <c r="O26" s="72"/>
      <c r="P26" s="76"/>
      <c r="Q26" s="75" t="s">
        <v>82</v>
      </c>
    </row>
    <row r="27" spans="1:17" s="41" customFormat="1" x14ac:dyDescent="0.2">
      <c r="A27" s="30" t="s">
        <v>19</v>
      </c>
      <c r="B27" s="28"/>
      <c r="C27" s="28"/>
      <c r="D27" s="29"/>
      <c r="E27" s="71"/>
      <c r="F27" s="28"/>
      <c r="G27" s="72"/>
      <c r="H27" s="104"/>
      <c r="I27" s="28"/>
      <c r="J27" s="28"/>
      <c r="K27" s="28"/>
      <c r="L27" s="71"/>
      <c r="M27" s="28"/>
      <c r="N27" s="28"/>
      <c r="O27" s="72"/>
      <c r="P27" s="76"/>
      <c r="Q27" s="75" t="s">
        <v>83</v>
      </c>
    </row>
    <row r="28" spans="1:17" s="41" customFormat="1" x14ac:dyDescent="0.2">
      <c r="A28" s="30" t="s">
        <v>20</v>
      </c>
      <c r="B28" s="28"/>
      <c r="C28" s="28"/>
      <c r="D28" s="29"/>
      <c r="E28" s="71"/>
      <c r="F28" s="28"/>
      <c r="G28" s="72"/>
      <c r="H28" s="104"/>
      <c r="I28" s="28"/>
      <c r="J28" s="28"/>
      <c r="K28" s="28"/>
      <c r="L28" s="71"/>
      <c r="M28" s="28"/>
      <c r="N28" s="28"/>
      <c r="O28" s="72"/>
      <c r="P28" s="76"/>
      <c r="Q28" s="75" t="s">
        <v>90</v>
      </c>
    </row>
    <row r="29" spans="1:17" s="41" customFormat="1" x14ac:dyDescent="0.2">
      <c r="A29" s="27" t="s">
        <v>21</v>
      </c>
      <c r="B29" s="25"/>
      <c r="C29" s="25"/>
      <c r="D29" s="26"/>
      <c r="E29" s="84"/>
      <c r="F29" s="25"/>
      <c r="G29" s="70">
        <v>1000000</v>
      </c>
      <c r="H29" s="106">
        <v>678436</v>
      </c>
      <c r="I29" s="25">
        <v>1020000</v>
      </c>
      <c r="J29" s="25">
        <v>1020377</v>
      </c>
      <c r="K29" s="25"/>
      <c r="L29" s="84"/>
      <c r="M29" s="25"/>
      <c r="N29" s="25"/>
      <c r="O29" s="70">
        <f>SUM(A26:N29)-SUM(G26:G29)-J29</f>
        <v>1698436</v>
      </c>
      <c r="P29" s="69">
        <f>4056000-O29</f>
        <v>2357564</v>
      </c>
      <c r="Q29" s="68"/>
    </row>
    <row r="30" spans="1:17" s="41" customFormat="1" x14ac:dyDescent="0.2">
      <c r="A30" s="33" t="s">
        <v>96</v>
      </c>
      <c r="B30" s="31"/>
      <c r="C30" s="31"/>
      <c r="D30" s="32"/>
      <c r="E30" s="31"/>
      <c r="F30" s="74"/>
      <c r="G30" s="31"/>
      <c r="H30" s="101"/>
      <c r="I30" s="31"/>
      <c r="J30" s="31"/>
      <c r="K30" s="31"/>
      <c r="L30" s="31"/>
      <c r="M30" s="31"/>
      <c r="N30" s="31"/>
      <c r="O30" s="74"/>
      <c r="P30" s="74"/>
      <c r="Q30" s="73"/>
    </row>
    <row r="31" spans="1:17" s="41" customFormat="1" x14ac:dyDescent="0.2">
      <c r="A31" s="30" t="s">
        <v>19</v>
      </c>
      <c r="B31" s="28"/>
      <c r="C31" s="28"/>
      <c r="D31" s="29"/>
      <c r="E31" s="28"/>
      <c r="F31" s="72"/>
      <c r="G31" s="28" t="s">
        <v>25</v>
      </c>
      <c r="H31" s="102"/>
      <c r="I31" s="71"/>
      <c r="J31" s="71"/>
      <c r="K31" s="28"/>
      <c r="L31" s="28"/>
      <c r="M31" s="28"/>
      <c r="N31" s="28"/>
      <c r="O31" s="72"/>
      <c r="P31" s="72"/>
      <c r="Q31" s="71"/>
    </row>
    <row r="32" spans="1:17" s="41" customFormat="1" x14ac:dyDescent="0.2">
      <c r="A32" s="30" t="s">
        <v>20</v>
      </c>
      <c r="B32" s="28"/>
      <c r="C32" s="28"/>
      <c r="D32" s="29"/>
      <c r="E32" s="28"/>
      <c r="F32" s="72"/>
      <c r="G32" s="28">
        <v>50000</v>
      </c>
      <c r="H32" s="102">
        <v>48193</v>
      </c>
      <c r="I32" s="71"/>
      <c r="J32" s="71"/>
      <c r="K32" s="28"/>
      <c r="L32" s="28"/>
      <c r="M32" s="28"/>
      <c r="N32" s="28"/>
      <c r="O32" s="72"/>
      <c r="P32" s="72"/>
      <c r="Q32" s="71"/>
    </row>
    <row r="33" spans="1:17" s="41" customFormat="1" x14ac:dyDescent="0.2">
      <c r="A33" s="27" t="s">
        <v>21</v>
      </c>
      <c r="B33" s="25"/>
      <c r="C33" s="25"/>
      <c r="D33" s="26"/>
      <c r="E33" s="25"/>
      <c r="F33" s="70"/>
      <c r="G33" s="25">
        <v>2150000</v>
      </c>
      <c r="H33" s="103">
        <v>1555816</v>
      </c>
      <c r="I33" s="25">
        <f>267164</f>
        <v>267164</v>
      </c>
      <c r="J33" s="25">
        <v>267164</v>
      </c>
      <c r="K33" s="25" t="s">
        <v>52</v>
      </c>
      <c r="L33" s="25"/>
      <c r="M33" s="25"/>
      <c r="N33" s="25"/>
      <c r="O33" s="70">
        <f>SUM(B30:N33)-SUM(G30:G33)-SUM(J30:J33)</f>
        <v>1871173</v>
      </c>
      <c r="P33" s="69">
        <f>1871173-O33</f>
        <v>0</v>
      </c>
      <c r="Q33" s="68" t="s">
        <v>101</v>
      </c>
    </row>
    <row r="34" spans="1:17" s="41" customFormat="1" x14ac:dyDescent="0.2">
      <c r="A34" s="27" t="s">
        <v>91</v>
      </c>
      <c r="B34" s="25"/>
      <c r="C34" s="25"/>
      <c r="D34" s="26"/>
      <c r="E34" s="25"/>
      <c r="F34" s="70"/>
      <c r="G34" s="25"/>
      <c r="H34" s="103"/>
      <c r="I34" s="25">
        <v>50000</v>
      </c>
      <c r="J34" s="25">
        <v>50000</v>
      </c>
      <c r="K34" s="25"/>
      <c r="L34" s="25"/>
      <c r="M34" s="25"/>
      <c r="N34" s="25"/>
      <c r="O34" s="70">
        <f>SUM(B34:N34)-J34</f>
        <v>50000</v>
      </c>
      <c r="P34" s="69">
        <f>50000-O34</f>
        <v>0</v>
      </c>
      <c r="Q34" s="68" t="s">
        <v>99</v>
      </c>
    </row>
    <row r="35" spans="1:17" s="41" customFormat="1" x14ac:dyDescent="0.2">
      <c r="A35" s="24" t="s">
        <v>77</v>
      </c>
      <c r="B35" s="22"/>
      <c r="C35" s="22"/>
      <c r="D35" s="23"/>
      <c r="E35" s="83"/>
      <c r="F35" s="22"/>
      <c r="G35" s="83"/>
      <c r="H35" s="107"/>
      <c r="I35" s="80">
        <v>44000</v>
      </c>
      <c r="J35" s="80">
        <v>44000</v>
      </c>
      <c r="K35" s="22"/>
      <c r="L35" s="83"/>
      <c r="M35" s="22"/>
      <c r="N35" s="22"/>
      <c r="O35" s="80">
        <f>SUM(B35:N35)-J35</f>
        <v>44000</v>
      </c>
      <c r="P35" s="82">
        <f>220000-O35</f>
        <v>176000</v>
      </c>
      <c r="Q35" s="81" t="s">
        <v>100</v>
      </c>
    </row>
    <row r="36" spans="1:17" s="41" customFormat="1" x14ac:dyDescent="0.2">
      <c r="A36" s="24" t="s">
        <v>89</v>
      </c>
      <c r="B36" s="22"/>
      <c r="C36" s="22"/>
      <c r="D36" s="23"/>
      <c r="E36" s="83"/>
      <c r="F36" s="22"/>
      <c r="G36" s="80"/>
      <c r="H36" s="107"/>
      <c r="I36" s="22">
        <v>128000</v>
      </c>
      <c r="J36" s="22">
        <v>128000</v>
      </c>
      <c r="K36" s="22"/>
      <c r="L36" s="83"/>
      <c r="M36" s="22"/>
      <c r="N36" s="22"/>
      <c r="O36" s="80">
        <f>SUM(B36:N36)-J36</f>
        <v>128000</v>
      </c>
      <c r="P36" s="82">
        <f>280000-O36</f>
        <v>152000</v>
      </c>
      <c r="Q36" s="81" t="s">
        <v>98</v>
      </c>
    </row>
    <row r="37" spans="1:17" s="41" customFormat="1" x14ac:dyDescent="0.2">
      <c r="A37" s="30" t="s">
        <v>97</v>
      </c>
      <c r="B37" s="28"/>
      <c r="C37" s="28"/>
      <c r="D37" s="29"/>
      <c r="E37" s="71"/>
      <c r="F37" s="28"/>
      <c r="G37" s="72"/>
      <c r="H37" s="104"/>
      <c r="I37" s="28">
        <v>500000</v>
      </c>
      <c r="J37" s="28">
        <v>500000</v>
      </c>
      <c r="K37" s="28"/>
      <c r="L37" s="71"/>
      <c r="M37" s="28"/>
      <c r="N37" s="28"/>
      <c r="O37" s="80">
        <f>SUM(B37:N37)-J37</f>
        <v>500000</v>
      </c>
      <c r="P37" s="76">
        <f>770000-O37</f>
        <v>270000</v>
      </c>
      <c r="Q37" s="75" t="s">
        <v>102</v>
      </c>
    </row>
    <row r="38" spans="1:17" s="41" customFormat="1" x14ac:dyDescent="0.2">
      <c r="A38" s="33" t="s">
        <v>88</v>
      </c>
      <c r="B38" s="31"/>
      <c r="C38" s="31"/>
      <c r="D38" s="32"/>
      <c r="E38" s="31"/>
      <c r="F38" s="74"/>
      <c r="G38" s="31"/>
      <c r="H38" s="101"/>
      <c r="I38" s="31"/>
      <c r="J38" s="31"/>
      <c r="K38" s="31"/>
      <c r="L38" s="31"/>
      <c r="M38" s="31"/>
      <c r="N38" s="31"/>
      <c r="O38" s="74"/>
      <c r="P38" s="74"/>
      <c r="Q38" s="73"/>
    </row>
    <row r="39" spans="1:17" s="41" customFormat="1" x14ac:dyDescent="0.2">
      <c r="A39" s="30" t="s">
        <v>66</v>
      </c>
      <c r="B39" s="28"/>
      <c r="C39" s="28"/>
      <c r="D39" s="29"/>
      <c r="E39" s="28"/>
      <c r="F39" s="72"/>
      <c r="G39" s="28"/>
      <c r="H39" s="102"/>
      <c r="I39" s="28"/>
      <c r="J39" s="28"/>
      <c r="K39" s="28"/>
      <c r="L39" s="28"/>
      <c r="M39" s="28"/>
      <c r="N39" s="28"/>
      <c r="O39" s="72"/>
      <c r="P39" s="72"/>
      <c r="Q39" s="71"/>
    </row>
    <row r="40" spans="1:17" s="41" customFormat="1" x14ac:dyDescent="0.2">
      <c r="A40" s="30" t="s">
        <v>19</v>
      </c>
      <c r="B40" s="28"/>
      <c r="C40" s="28"/>
      <c r="D40" s="29"/>
      <c r="E40" s="28"/>
      <c r="F40" s="72"/>
      <c r="G40" s="28"/>
      <c r="H40" s="102"/>
      <c r="I40" s="28" t="s">
        <v>25</v>
      </c>
      <c r="J40" s="28"/>
      <c r="K40" s="28"/>
      <c r="L40" s="28"/>
      <c r="M40" s="28"/>
      <c r="N40" s="28"/>
      <c r="O40" s="72"/>
      <c r="P40" s="72"/>
      <c r="Q40" s="71"/>
    </row>
    <row r="41" spans="1:17" s="41" customFormat="1" x14ac:dyDescent="0.2">
      <c r="A41" s="30" t="s">
        <v>20</v>
      </c>
      <c r="B41" s="28"/>
      <c r="C41" s="28"/>
      <c r="D41" s="29"/>
      <c r="E41" s="28"/>
      <c r="F41" s="72"/>
      <c r="G41" s="28"/>
      <c r="H41" s="102"/>
      <c r="I41" s="28"/>
      <c r="J41" s="28"/>
      <c r="K41" s="28"/>
      <c r="L41" s="28"/>
      <c r="M41" s="28"/>
      <c r="N41" s="28"/>
      <c r="O41" s="72"/>
      <c r="P41" s="72"/>
      <c r="Q41" s="71"/>
    </row>
    <row r="42" spans="1:17" s="41" customFormat="1" x14ac:dyDescent="0.2">
      <c r="A42" s="27" t="s">
        <v>21</v>
      </c>
      <c r="B42" s="25"/>
      <c r="C42" s="25"/>
      <c r="D42" s="26"/>
      <c r="E42" s="25"/>
      <c r="F42" s="70"/>
      <c r="G42" s="25"/>
      <c r="H42" s="25"/>
      <c r="I42" s="25">
        <v>1200000</v>
      </c>
      <c r="J42" s="25">
        <v>1200000</v>
      </c>
      <c r="K42" s="25" t="s">
        <v>52</v>
      </c>
      <c r="L42" s="25"/>
      <c r="M42" s="25"/>
      <c r="N42" s="25"/>
      <c r="O42" s="70">
        <f>SUM(B38:N42)-J42</f>
        <v>1200000</v>
      </c>
      <c r="P42" s="69">
        <f>1200000-O42</f>
        <v>0</v>
      </c>
      <c r="Q42" s="68" t="s">
        <v>65</v>
      </c>
    </row>
    <row r="43" spans="1:17" s="41" customFormat="1" x14ac:dyDescent="0.2">
      <c r="A43" s="30" t="s">
        <v>87</v>
      </c>
      <c r="B43" s="28"/>
      <c r="C43" s="28"/>
      <c r="D43" s="29"/>
      <c r="E43" s="28"/>
      <c r="F43" s="72"/>
      <c r="G43" s="28"/>
      <c r="H43" s="28"/>
      <c r="I43" s="28"/>
      <c r="J43" s="28"/>
      <c r="K43" s="28">
        <v>2000000</v>
      </c>
      <c r="L43" s="28"/>
      <c r="M43" s="28"/>
      <c r="N43" s="28"/>
      <c r="O43" s="70">
        <f>SUM(B43:N43)</f>
        <v>2000000</v>
      </c>
      <c r="P43" s="76">
        <f>2000000-O43</f>
        <v>0</v>
      </c>
      <c r="Q43" s="75"/>
    </row>
    <row r="44" spans="1:17" s="41" customFormat="1" x14ac:dyDescent="0.2">
      <c r="A44" s="33" t="s">
        <v>95</v>
      </c>
      <c r="B44" s="31"/>
      <c r="C44" s="31"/>
      <c r="D44" s="32"/>
      <c r="E44" s="31"/>
      <c r="F44" s="74"/>
      <c r="G44" s="31"/>
      <c r="H44" s="31"/>
      <c r="I44" s="31"/>
      <c r="J44" s="31"/>
      <c r="K44" s="31"/>
      <c r="L44" s="31"/>
      <c r="M44" s="31"/>
      <c r="N44" s="31"/>
      <c r="O44" s="74"/>
      <c r="P44" s="74"/>
      <c r="Q44" s="79"/>
    </row>
    <row r="45" spans="1:17" s="41" customFormat="1" x14ac:dyDescent="0.2">
      <c r="A45" s="30" t="s">
        <v>19</v>
      </c>
      <c r="B45" s="28"/>
      <c r="C45" s="28"/>
      <c r="D45" s="29"/>
      <c r="E45" s="28"/>
      <c r="F45" s="72"/>
      <c r="G45" s="28" t="s">
        <v>25</v>
      </c>
      <c r="H45" s="28"/>
      <c r="I45" s="71"/>
      <c r="J45" s="71"/>
      <c r="K45" s="28"/>
      <c r="L45" s="28"/>
      <c r="M45" s="28"/>
      <c r="N45" s="28"/>
      <c r="O45" s="72"/>
      <c r="P45" s="72"/>
      <c r="Q45" s="71"/>
    </row>
    <row r="46" spans="1:17" s="41" customFormat="1" x14ac:dyDescent="0.2">
      <c r="A46" s="30" t="s">
        <v>20</v>
      </c>
      <c r="B46" s="28"/>
      <c r="C46" s="28"/>
      <c r="D46" s="29"/>
      <c r="E46" s="28"/>
      <c r="F46" s="72"/>
      <c r="G46" s="28" t="s">
        <v>52</v>
      </c>
      <c r="H46" s="28"/>
      <c r="I46" s="78"/>
      <c r="J46" s="78"/>
      <c r="K46" s="78">
        <v>50000</v>
      </c>
      <c r="L46" s="28"/>
      <c r="M46" s="28"/>
      <c r="N46" s="28"/>
      <c r="O46" s="72"/>
      <c r="P46" s="72"/>
      <c r="Q46" s="75" t="s">
        <v>64</v>
      </c>
    </row>
    <row r="47" spans="1:17" s="41" customFormat="1" x14ac:dyDescent="0.2">
      <c r="A47" s="27" t="s">
        <v>21</v>
      </c>
      <c r="B47" s="25"/>
      <c r="C47" s="25"/>
      <c r="D47" s="26"/>
      <c r="E47" s="25"/>
      <c r="F47" s="70"/>
      <c r="G47" s="25"/>
      <c r="H47" s="25"/>
      <c r="I47" s="25"/>
      <c r="J47" s="25"/>
      <c r="K47" s="25">
        <v>1600000</v>
      </c>
      <c r="L47" s="25"/>
      <c r="M47" s="25"/>
      <c r="N47" s="25"/>
      <c r="O47" s="70">
        <f>SUM(B44:N47)</f>
        <v>1650000</v>
      </c>
      <c r="P47" s="69">
        <f>2250000-O47</f>
        <v>600000</v>
      </c>
      <c r="Q47" s="77" t="s">
        <v>86</v>
      </c>
    </row>
    <row r="48" spans="1:17" s="41" customFormat="1" x14ac:dyDescent="0.2">
      <c r="A48" s="33" t="s">
        <v>78</v>
      </c>
      <c r="B48" s="31"/>
      <c r="C48" s="31"/>
      <c r="D48" s="32"/>
      <c r="E48" s="31"/>
      <c r="F48" s="74"/>
      <c r="G48" s="31"/>
      <c r="H48" s="31"/>
      <c r="I48" s="31"/>
      <c r="J48" s="31"/>
      <c r="K48" s="31"/>
      <c r="L48" s="31"/>
      <c r="M48" s="31"/>
      <c r="N48" s="31"/>
      <c r="O48" s="74"/>
      <c r="P48" s="74"/>
      <c r="Q48" s="73"/>
    </row>
    <row r="49" spans="1:17" s="41" customFormat="1" x14ac:dyDescent="0.2">
      <c r="A49" s="30" t="s">
        <v>19</v>
      </c>
      <c r="B49" s="28"/>
      <c r="C49" s="28"/>
      <c r="D49" s="29"/>
      <c r="E49" s="28"/>
      <c r="F49" s="72"/>
      <c r="G49" s="28"/>
      <c r="H49" s="28"/>
      <c r="I49" s="28">
        <v>442000</v>
      </c>
      <c r="J49" s="28">
        <v>442000</v>
      </c>
      <c r="K49" s="28"/>
      <c r="L49" s="28"/>
      <c r="M49" s="28"/>
      <c r="N49" s="28"/>
      <c r="O49" s="72"/>
      <c r="P49" s="72"/>
      <c r="Q49" s="71"/>
    </row>
    <row r="50" spans="1:17" s="41" customFormat="1" x14ac:dyDescent="0.2">
      <c r="A50" s="30" t="s">
        <v>20</v>
      </c>
      <c r="B50" s="28"/>
      <c r="C50" s="28"/>
      <c r="D50" s="29"/>
      <c r="E50" s="28"/>
      <c r="F50" s="72"/>
      <c r="G50" s="28" t="s">
        <v>52</v>
      </c>
      <c r="H50" s="28"/>
      <c r="I50" s="78" t="s">
        <v>52</v>
      </c>
      <c r="J50" s="78"/>
      <c r="K50" s="28"/>
      <c r="L50" s="28">
        <v>50000</v>
      </c>
      <c r="M50" s="28"/>
      <c r="N50" s="28"/>
      <c r="O50" s="72"/>
      <c r="P50" s="72"/>
      <c r="Q50" s="71"/>
    </row>
    <row r="51" spans="1:17" s="41" customFormat="1" x14ac:dyDescent="0.2">
      <c r="A51" s="27" t="s">
        <v>21</v>
      </c>
      <c r="B51" s="25"/>
      <c r="C51" s="25"/>
      <c r="D51" s="26"/>
      <c r="E51" s="25"/>
      <c r="F51" s="70"/>
      <c r="G51" s="25"/>
      <c r="H51" s="25"/>
      <c r="I51" s="25" t="s">
        <v>52</v>
      </c>
      <c r="J51" s="25"/>
      <c r="K51" s="25"/>
      <c r="L51" s="25">
        <v>2500000</v>
      </c>
      <c r="M51" s="25">
        <v>2400000</v>
      </c>
      <c r="N51" s="25"/>
      <c r="O51" s="70">
        <f>SUM(B48:N51)-J49</f>
        <v>5392000</v>
      </c>
      <c r="P51" s="69">
        <f>5440000-O51</f>
        <v>48000</v>
      </c>
      <c r="Q51" s="68" t="s">
        <v>64</v>
      </c>
    </row>
    <row r="52" spans="1:17" s="41" customFormat="1" x14ac:dyDescent="0.2">
      <c r="A52" s="33" t="s">
        <v>79</v>
      </c>
      <c r="B52" s="31"/>
      <c r="C52" s="31"/>
      <c r="D52" s="32"/>
      <c r="E52" s="31"/>
      <c r="F52" s="74"/>
      <c r="G52" s="31"/>
      <c r="H52" s="31"/>
      <c r="I52" s="31"/>
      <c r="J52" s="31"/>
      <c r="K52" s="31"/>
      <c r="L52" s="31"/>
      <c r="M52" s="31"/>
      <c r="N52" s="31"/>
      <c r="O52" s="74"/>
      <c r="P52" s="74"/>
      <c r="Q52" s="73"/>
    </row>
    <row r="53" spans="1:17" s="41" customFormat="1" x14ac:dyDescent="0.2">
      <c r="A53" s="30" t="s">
        <v>19</v>
      </c>
      <c r="B53" s="28"/>
      <c r="C53" s="28"/>
      <c r="D53" s="29"/>
      <c r="E53" s="28"/>
      <c r="F53" s="72"/>
      <c r="G53" s="72"/>
      <c r="H53" s="72"/>
      <c r="I53" s="28"/>
      <c r="J53" s="28"/>
      <c r="K53" s="72"/>
      <c r="L53" s="72" t="s">
        <v>52</v>
      </c>
      <c r="M53" s="28"/>
      <c r="N53" s="28"/>
      <c r="O53" s="72"/>
      <c r="P53" s="72"/>
      <c r="Q53" s="71"/>
    </row>
    <row r="54" spans="1:17" s="41" customFormat="1" x14ac:dyDescent="0.2">
      <c r="A54" s="30" t="s">
        <v>20</v>
      </c>
      <c r="B54" s="28"/>
      <c r="C54" s="28"/>
      <c r="D54" s="29"/>
      <c r="E54" s="28"/>
      <c r="F54" s="72"/>
      <c r="G54" s="72"/>
      <c r="H54" s="72"/>
      <c r="I54" s="72"/>
      <c r="J54" s="72"/>
      <c r="K54" s="72"/>
      <c r="L54" s="72"/>
      <c r="M54" s="28"/>
      <c r="N54" s="28"/>
      <c r="O54" s="72"/>
      <c r="P54" s="72"/>
      <c r="Q54" s="71"/>
    </row>
    <row r="55" spans="1:17" s="41" customFormat="1" ht="24" x14ac:dyDescent="0.2">
      <c r="A55" s="27" t="s">
        <v>21</v>
      </c>
      <c r="B55" s="25"/>
      <c r="C55" s="25"/>
      <c r="D55" s="26"/>
      <c r="E55" s="25"/>
      <c r="F55" s="25"/>
      <c r="G55" s="70"/>
      <c r="H55" s="70"/>
      <c r="I55" s="25"/>
      <c r="J55" s="25"/>
      <c r="K55" s="25"/>
      <c r="L55" s="25"/>
      <c r="M55" s="25">
        <v>2525200</v>
      </c>
      <c r="N55" s="25">
        <v>0</v>
      </c>
      <c r="O55" s="70">
        <f>SUM(B52:N55)</f>
        <v>2525200</v>
      </c>
      <c r="P55" s="69">
        <f>3525500-O55</f>
        <v>1000300</v>
      </c>
      <c r="Q55" s="77" t="s">
        <v>84</v>
      </c>
    </row>
    <row r="56" spans="1:17" s="41" customFormat="1" x14ac:dyDescent="0.2">
      <c r="A56" s="30" t="s">
        <v>67</v>
      </c>
      <c r="B56" s="28"/>
      <c r="C56" s="28"/>
      <c r="D56" s="29"/>
      <c r="E56" s="28"/>
      <c r="F56" s="72"/>
      <c r="G56" s="28"/>
      <c r="H56" s="28"/>
      <c r="I56" s="28"/>
      <c r="J56" s="28"/>
      <c r="K56" s="28"/>
      <c r="L56" s="28"/>
      <c r="M56" s="28"/>
      <c r="N56" s="28"/>
      <c r="O56" s="74"/>
      <c r="Q56" s="75"/>
    </row>
    <row r="57" spans="1:17" s="41" customFormat="1" x14ac:dyDescent="0.2">
      <c r="A57" s="37" t="s">
        <v>68</v>
      </c>
      <c r="B57" s="28"/>
      <c r="C57" s="28"/>
      <c r="D57" s="29"/>
      <c r="E57" s="28"/>
      <c r="F57" s="72"/>
      <c r="G57" s="28"/>
      <c r="H57" s="28"/>
      <c r="I57" s="28"/>
      <c r="J57" s="28"/>
      <c r="K57" s="28"/>
      <c r="L57" s="28"/>
      <c r="M57" s="28"/>
      <c r="N57" s="28"/>
      <c r="O57" s="72"/>
      <c r="P57" s="76"/>
      <c r="Q57" s="75"/>
    </row>
    <row r="58" spans="1:17" s="41" customFormat="1" x14ac:dyDescent="0.2">
      <c r="A58" s="37" t="s">
        <v>69</v>
      </c>
      <c r="B58" s="28"/>
      <c r="C58" s="28"/>
      <c r="D58" s="29"/>
      <c r="E58" s="28"/>
      <c r="F58" s="72"/>
      <c r="G58" s="28"/>
      <c r="H58" s="28"/>
      <c r="I58" s="28"/>
      <c r="J58" s="28"/>
      <c r="K58" s="28"/>
      <c r="L58" s="28"/>
      <c r="M58" s="28"/>
      <c r="N58" s="28"/>
      <c r="O58" s="72"/>
      <c r="P58" s="76"/>
      <c r="Q58" s="75"/>
    </row>
    <row r="59" spans="1:17" s="41" customFormat="1" x14ac:dyDescent="0.2">
      <c r="A59" s="37" t="s">
        <v>70</v>
      </c>
      <c r="B59" s="28"/>
      <c r="C59" s="28"/>
      <c r="D59" s="29"/>
      <c r="E59" s="28"/>
      <c r="F59" s="72"/>
      <c r="G59" s="28"/>
      <c r="H59" s="28"/>
      <c r="I59" s="28"/>
      <c r="J59" s="28"/>
      <c r="K59" s="28"/>
      <c r="L59" s="28"/>
      <c r="M59" s="28"/>
      <c r="N59" s="28"/>
      <c r="O59" s="72">
        <f>SUM(B56:N59)</f>
        <v>0</v>
      </c>
      <c r="P59" s="76">
        <f>2500000-O59</f>
        <v>2500000</v>
      </c>
      <c r="Q59" s="75"/>
    </row>
    <row r="60" spans="1:17" s="41" customFormat="1" x14ac:dyDescent="0.2">
      <c r="A60" s="33" t="s">
        <v>63</v>
      </c>
      <c r="B60" s="31"/>
      <c r="C60" s="31"/>
      <c r="D60" s="32"/>
      <c r="E60" s="31"/>
      <c r="F60" s="74"/>
      <c r="G60" s="31"/>
      <c r="H60" s="31"/>
      <c r="I60" s="31"/>
      <c r="J60" s="31"/>
      <c r="K60" s="31"/>
      <c r="L60" s="31"/>
      <c r="M60" s="31"/>
      <c r="N60" s="31"/>
      <c r="O60" s="74"/>
      <c r="P60" s="74"/>
      <c r="Q60" s="73"/>
    </row>
    <row r="61" spans="1:17" s="41" customFormat="1" x14ac:dyDescent="0.2">
      <c r="A61" s="30" t="s">
        <v>19</v>
      </c>
      <c r="B61" s="28"/>
      <c r="C61" s="28"/>
      <c r="D61" s="29"/>
      <c r="E61" s="28"/>
      <c r="F61" s="72"/>
      <c r="G61" s="72"/>
      <c r="H61" s="72"/>
      <c r="I61" s="28"/>
      <c r="J61" s="28"/>
      <c r="K61" s="72"/>
      <c r="L61" s="72"/>
      <c r="M61" s="28">
        <v>200000</v>
      </c>
      <c r="N61" s="28"/>
      <c r="O61" s="72"/>
      <c r="P61" s="72"/>
      <c r="Q61" s="71"/>
    </row>
    <row r="62" spans="1:17" s="41" customFormat="1" x14ac:dyDescent="0.2">
      <c r="A62" s="30" t="s">
        <v>20</v>
      </c>
      <c r="B62" s="28"/>
      <c r="C62" s="28"/>
      <c r="D62" s="29"/>
      <c r="E62" s="28"/>
      <c r="F62" s="72"/>
      <c r="G62" s="72"/>
      <c r="H62" s="72"/>
      <c r="I62" s="28"/>
      <c r="J62" s="28"/>
      <c r="K62" s="72"/>
      <c r="L62" s="72"/>
      <c r="M62" s="28"/>
      <c r="N62" s="28">
        <v>100000</v>
      </c>
      <c r="O62" s="72"/>
      <c r="P62" s="72"/>
      <c r="Q62" s="71"/>
    </row>
    <row r="63" spans="1:17" s="41" customFormat="1" x14ac:dyDescent="0.2">
      <c r="A63" s="27" t="s">
        <v>21</v>
      </c>
      <c r="B63" s="25"/>
      <c r="C63" s="25"/>
      <c r="D63" s="26"/>
      <c r="E63" s="25"/>
      <c r="F63" s="25"/>
      <c r="G63" s="70"/>
      <c r="H63" s="70"/>
      <c r="I63" s="25"/>
      <c r="J63" s="25"/>
      <c r="K63" s="25"/>
      <c r="L63" s="25"/>
      <c r="M63" s="25"/>
      <c r="N63" s="25">
        <v>1700000</v>
      </c>
      <c r="O63" s="70">
        <f>SUM(B60:N63)</f>
        <v>2000000</v>
      </c>
      <c r="P63" s="69">
        <f>2500000-O63</f>
        <v>500000</v>
      </c>
      <c r="Q63" s="68" t="s">
        <v>62</v>
      </c>
    </row>
    <row r="64" spans="1:17" s="43" customFormat="1" x14ac:dyDescent="0.2">
      <c r="A64" s="67" t="s">
        <v>27</v>
      </c>
      <c r="B64" s="21">
        <f t="shared" ref="B64:P64" si="0">SUBTOTAL(9,B7:B63)</f>
        <v>720379</v>
      </c>
      <c r="C64" s="21">
        <f t="shared" si="0"/>
        <v>2644972.94</v>
      </c>
      <c r="D64" s="21">
        <f t="shared" si="0"/>
        <v>2041303</v>
      </c>
      <c r="E64" s="21">
        <f t="shared" si="0"/>
        <v>2005711</v>
      </c>
      <c r="F64" s="21">
        <f t="shared" si="0"/>
        <v>2503981</v>
      </c>
      <c r="G64" s="21">
        <f t="shared" si="0"/>
        <v>4000000</v>
      </c>
      <c r="H64" s="21">
        <f t="shared" si="0"/>
        <v>3421330</v>
      </c>
      <c r="I64" s="21">
        <f t="shared" si="0"/>
        <v>9382750</v>
      </c>
      <c r="J64" s="21">
        <f t="shared" si="0"/>
        <v>9383127</v>
      </c>
      <c r="K64" s="21">
        <f t="shared" si="0"/>
        <v>4450000</v>
      </c>
      <c r="L64" s="21">
        <f t="shared" si="0"/>
        <v>3350000</v>
      </c>
      <c r="M64" s="21">
        <f t="shared" si="0"/>
        <v>5925200</v>
      </c>
      <c r="N64" s="21">
        <f t="shared" si="0"/>
        <v>2319112.333333333</v>
      </c>
      <c r="O64" s="21">
        <f t="shared" si="0"/>
        <v>38764739.273333333</v>
      </c>
      <c r="P64" s="21">
        <f t="shared" si="0"/>
        <v>10015344.65</v>
      </c>
      <c r="Q64" s="66"/>
    </row>
    <row r="65" spans="1:17" s="41" customFormat="1" x14ac:dyDescent="0.2">
      <c r="A65" s="62"/>
      <c r="B65" s="5"/>
      <c r="C65" s="5"/>
      <c r="D65" s="11"/>
      <c r="E65" s="65"/>
      <c r="F65" s="5"/>
      <c r="G65" s="5"/>
      <c r="H65" s="5"/>
      <c r="I65" s="5"/>
      <c r="J65" s="5"/>
      <c r="K65" s="5"/>
      <c r="L65" s="40"/>
      <c r="M65" s="5"/>
      <c r="N65" s="5"/>
      <c r="O65" s="65"/>
      <c r="P65" s="65"/>
    </row>
    <row r="66" spans="1:17" s="41" customFormat="1" x14ac:dyDescent="0.2">
      <c r="A66" s="59" t="s">
        <v>28</v>
      </c>
      <c r="B66" s="7">
        <f t="shared" ref="B66:O66" si="1">B3-B64</f>
        <v>1168754</v>
      </c>
      <c r="C66" s="7">
        <f t="shared" si="1"/>
        <v>854378.06</v>
      </c>
      <c r="D66" s="8">
        <f t="shared" si="1"/>
        <v>680454</v>
      </c>
      <c r="E66" s="7">
        <f t="shared" si="1"/>
        <v>2138279</v>
      </c>
      <c r="F66" s="7">
        <f t="shared" si="1"/>
        <v>1767401</v>
      </c>
      <c r="G66" s="7">
        <f t="shared" si="1"/>
        <v>369150</v>
      </c>
      <c r="H66" s="7">
        <f t="shared" si="1"/>
        <v>847535</v>
      </c>
      <c r="I66" s="7">
        <f t="shared" si="1"/>
        <v>-5465310</v>
      </c>
      <c r="J66" s="7">
        <f t="shared" si="1"/>
        <v>-5007540.375</v>
      </c>
      <c r="K66" s="7">
        <f t="shared" si="1"/>
        <v>412788.79999999981</v>
      </c>
      <c r="L66" s="7">
        <f t="shared" si="1"/>
        <v>1610044.5760000004</v>
      </c>
      <c r="M66" s="7">
        <f t="shared" si="1"/>
        <v>-865954.53247999959</v>
      </c>
      <c r="N66" s="7">
        <f t="shared" si="1"/>
        <v>-168933.00963733299</v>
      </c>
      <c r="O66" s="7">
        <f t="shared" si="1"/>
        <v>7355023.5188826621</v>
      </c>
      <c r="P66" s="65"/>
    </row>
    <row r="67" spans="1:17" s="41" customFormat="1" x14ac:dyDescent="0.2">
      <c r="A67" s="59" t="s">
        <v>29</v>
      </c>
      <c r="B67" s="5">
        <v>0</v>
      </c>
      <c r="C67" s="5">
        <f>B68</f>
        <v>1168754</v>
      </c>
      <c r="D67" s="11">
        <f>C68</f>
        <v>2023132.06</v>
      </c>
      <c r="E67" s="65">
        <f>D68</f>
        <v>2703586.06</v>
      </c>
      <c r="F67" s="5">
        <f>E68</f>
        <v>4841865.0600000005</v>
      </c>
      <c r="G67" s="5">
        <f>F68</f>
        <v>6609266.0600000005</v>
      </c>
      <c r="H67" s="5">
        <f>F68</f>
        <v>6609266.0600000005</v>
      </c>
      <c r="I67" s="5">
        <f>H68</f>
        <v>7456801.0600000005</v>
      </c>
      <c r="J67" s="5">
        <f>+H68</f>
        <v>7456801.0600000005</v>
      </c>
      <c r="K67" s="5">
        <f>I68</f>
        <v>1991491.0600000005</v>
      </c>
      <c r="L67" s="5">
        <f>K68</f>
        <v>2404279.8600000003</v>
      </c>
      <c r="M67" s="5">
        <f>L68</f>
        <v>4014324.4360000007</v>
      </c>
      <c r="N67" s="5">
        <f>M68</f>
        <v>3148369.9035200011</v>
      </c>
      <c r="O67" s="5"/>
      <c r="P67" s="65"/>
    </row>
    <row r="68" spans="1:17" s="41" customFormat="1" x14ac:dyDescent="0.2">
      <c r="A68" s="59" t="s">
        <v>30</v>
      </c>
      <c r="B68" s="7">
        <f t="shared" ref="B68:O68" si="2">B66+B67</f>
        <v>1168754</v>
      </c>
      <c r="C68" s="7">
        <f t="shared" si="2"/>
        <v>2023132.06</v>
      </c>
      <c r="D68" s="8">
        <f t="shared" si="2"/>
        <v>2703586.06</v>
      </c>
      <c r="E68" s="7">
        <f t="shared" si="2"/>
        <v>4841865.0600000005</v>
      </c>
      <c r="F68" s="7">
        <f t="shared" si="2"/>
        <v>6609266.0600000005</v>
      </c>
      <c r="G68" s="7">
        <f t="shared" si="2"/>
        <v>6978416.0600000005</v>
      </c>
      <c r="H68" s="7">
        <f t="shared" si="2"/>
        <v>7456801.0600000005</v>
      </c>
      <c r="I68" s="7">
        <f t="shared" si="2"/>
        <v>1991491.0600000005</v>
      </c>
      <c r="J68" s="7">
        <f t="shared" si="2"/>
        <v>2449260.6850000005</v>
      </c>
      <c r="K68" s="7">
        <f t="shared" si="2"/>
        <v>2404279.8600000003</v>
      </c>
      <c r="L68" s="7">
        <f t="shared" si="2"/>
        <v>4014324.4360000007</v>
      </c>
      <c r="M68" s="7">
        <f t="shared" si="2"/>
        <v>3148369.9035200011</v>
      </c>
      <c r="N68" s="7">
        <f t="shared" si="2"/>
        <v>2979436.8938826681</v>
      </c>
      <c r="O68" s="7">
        <f t="shared" si="2"/>
        <v>7355023.5188826621</v>
      </c>
      <c r="P68" s="65"/>
    </row>
    <row r="69" spans="1:17" s="41" customFormat="1" x14ac:dyDescent="0.2">
      <c r="A69" s="59"/>
      <c r="B69" s="7"/>
      <c r="C69" s="7"/>
      <c r="D69" s="8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65"/>
    </row>
    <row r="70" spans="1:17" s="41" customFormat="1" x14ac:dyDescent="0.2">
      <c r="A70" s="59"/>
      <c r="B70" s="7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65"/>
    </row>
    <row r="71" spans="1:17" x14ac:dyDescent="0.2">
      <c r="A71" s="52" t="s">
        <v>0</v>
      </c>
      <c r="B71" s="53" t="s">
        <v>1</v>
      </c>
      <c r="C71" s="53" t="s">
        <v>1</v>
      </c>
      <c r="D71" s="53" t="str">
        <f>D1</f>
        <v>Actual</v>
      </c>
      <c r="E71" s="53" t="str">
        <f>E1</f>
        <v>Actual</v>
      </c>
      <c r="F71" s="53" t="str">
        <f>F1</f>
        <v>Actual</v>
      </c>
      <c r="G71" s="53" t="s">
        <v>2</v>
      </c>
      <c r="H71" s="53" t="str">
        <f>H1</f>
        <v>Estimated</v>
      </c>
      <c r="I71" s="53" t="s">
        <v>2</v>
      </c>
      <c r="J71" s="53" t="s">
        <v>92</v>
      </c>
      <c r="K71" s="53" t="s">
        <v>2</v>
      </c>
      <c r="L71" s="53" t="s">
        <v>2</v>
      </c>
      <c r="M71" s="53" t="s">
        <v>2</v>
      </c>
      <c r="N71" s="53" t="s">
        <v>2</v>
      </c>
      <c r="O71" s="53" t="s">
        <v>2</v>
      </c>
    </row>
    <row r="72" spans="1:17" x14ac:dyDescent="0.2">
      <c r="A72" s="52" t="s">
        <v>31</v>
      </c>
      <c r="B72" s="51" t="s">
        <v>4</v>
      </c>
      <c r="C72" s="49">
        <v>2010</v>
      </c>
      <c r="D72" s="49">
        <v>2011</v>
      </c>
      <c r="E72" s="49">
        <f>E2</f>
        <v>2012</v>
      </c>
      <c r="F72" s="50">
        <f>F2</f>
        <v>2013</v>
      </c>
      <c r="G72" s="49">
        <v>2014</v>
      </c>
      <c r="H72" s="49" t="str">
        <f>H2</f>
        <v>2014***</v>
      </c>
      <c r="I72" s="49">
        <v>2015</v>
      </c>
      <c r="J72" s="49">
        <v>2015</v>
      </c>
      <c r="K72" s="49">
        <v>2016</v>
      </c>
      <c r="L72" s="49">
        <v>2017</v>
      </c>
      <c r="M72" s="49">
        <v>2018</v>
      </c>
      <c r="N72" s="48">
        <v>2019</v>
      </c>
      <c r="O72" s="47" t="s">
        <v>5</v>
      </c>
    </row>
    <row r="73" spans="1:17" s="41" customFormat="1" x14ac:dyDescent="0.2">
      <c r="A73" s="1" t="s">
        <v>6</v>
      </c>
      <c r="B73" s="2">
        <v>500000</v>
      </c>
      <c r="C73" s="2">
        <v>500000</v>
      </c>
      <c r="D73" s="10">
        <v>1500000</v>
      </c>
      <c r="E73" s="2">
        <v>305000</v>
      </c>
      <c r="F73" s="2">
        <v>250000</v>
      </c>
      <c r="G73" s="2">
        <v>250000</v>
      </c>
      <c r="H73" s="2">
        <v>250000</v>
      </c>
      <c r="I73" s="2">
        <f>100000+750000</f>
        <v>850000</v>
      </c>
      <c r="J73" s="2">
        <f>+I73</f>
        <v>850000</v>
      </c>
      <c r="K73" s="2"/>
      <c r="L73" s="2"/>
      <c r="M73" s="2"/>
      <c r="N73" s="2"/>
      <c r="O73" s="40">
        <f>SUM(B73:N73)-F73</f>
        <v>5005000</v>
      </c>
    </row>
    <row r="74" spans="1:17" s="41" customFormat="1" x14ac:dyDescent="0.2">
      <c r="A74" s="59"/>
      <c r="B74" s="7"/>
      <c r="C74" s="7"/>
      <c r="D74" s="10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65"/>
    </row>
    <row r="75" spans="1:17" x14ac:dyDescent="0.2">
      <c r="A75" s="52" t="s">
        <v>7</v>
      </c>
      <c r="B75" s="53" t="s">
        <v>1</v>
      </c>
      <c r="C75" s="53" t="s">
        <v>1</v>
      </c>
      <c r="D75" s="53" t="str">
        <f>D1</f>
        <v>Actual</v>
      </c>
      <c r="E75" s="53" t="str">
        <f>E1</f>
        <v>Actual</v>
      </c>
      <c r="F75" s="53" t="str">
        <f>F1</f>
        <v>Actual</v>
      </c>
      <c r="G75" s="53" t="s">
        <v>2</v>
      </c>
      <c r="H75" s="53" t="str">
        <f>H1</f>
        <v>Estimated</v>
      </c>
      <c r="I75" s="53" t="s">
        <v>2</v>
      </c>
      <c r="J75" s="53" t="s">
        <v>92</v>
      </c>
      <c r="K75" s="53" t="s">
        <v>2</v>
      </c>
      <c r="L75" s="53" t="s">
        <v>2</v>
      </c>
      <c r="M75" s="53" t="s">
        <v>2</v>
      </c>
      <c r="N75" s="53" t="s">
        <v>2</v>
      </c>
      <c r="O75" s="53" t="s">
        <v>2</v>
      </c>
      <c r="P75" s="49" t="s">
        <v>8</v>
      </c>
    </row>
    <row r="76" spans="1:17" ht="15.75" x14ac:dyDescent="0.25">
      <c r="A76" s="52" t="s">
        <v>31</v>
      </c>
      <c r="B76" s="51" t="s">
        <v>4</v>
      </c>
      <c r="C76" s="49">
        <v>2010</v>
      </c>
      <c r="D76" s="49">
        <v>2011</v>
      </c>
      <c r="E76" s="49">
        <f>E2</f>
        <v>2012</v>
      </c>
      <c r="F76" s="50">
        <f>F2</f>
        <v>2013</v>
      </c>
      <c r="G76" s="49">
        <v>2014</v>
      </c>
      <c r="H76" s="49" t="str">
        <f>H2</f>
        <v>2014***</v>
      </c>
      <c r="I76" s="49" t="s">
        <v>10</v>
      </c>
      <c r="J76" s="49" t="s">
        <v>10</v>
      </c>
      <c r="K76" s="49" t="s">
        <v>11</v>
      </c>
      <c r="L76" s="49" t="s">
        <v>12</v>
      </c>
      <c r="M76" s="49" t="s">
        <v>13</v>
      </c>
      <c r="N76" s="48" t="s">
        <v>14</v>
      </c>
      <c r="O76" s="47" t="s">
        <v>15</v>
      </c>
      <c r="P76" s="47" t="s">
        <v>16</v>
      </c>
    </row>
    <row r="77" spans="1:17" s="41" customFormat="1" x14ac:dyDescent="0.2">
      <c r="A77" s="59" t="s">
        <v>32</v>
      </c>
      <c r="B77" s="2"/>
      <c r="C77" s="2"/>
      <c r="D77" s="10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s="41" customFormat="1" x14ac:dyDescent="0.2">
      <c r="A78" s="62" t="s">
        <v>53</v>
      </c>
      <c r="B78" s="2"/>
      <c r="C78" s="2">
        <v>500000</v>
      </c>
      <c r="D78" s="10"/>
      <c r="E78" s="2"/>
      <c r="F78" s="2"/>
      <c r="G78" s="2"/>
      <c r="H78" s="2"/>
      <c r="I78" s="2"/>
      <c r="J78" s="2"/>
      <c r="K78" s="2"/>
      <c r="L78" s="2"/>
      <c r="M78" s="2"/>
      <c r="N78" s="2"/>
      <c r="O78" s="2">
        <f t="shared" ref="O78:O84" si="3">SUM(B78:N78)</f>
        <v>500000</v>
      </c>
      <c r="P78" s="2">
        <f>1205591-O78</f>
        <v>705591</v>
      </c>
    </row>
    <row r="79" spans="1:17" s="41" customFormat="1" x14ac:dyDescent="0.2">
      <c r="A79" s="62" t="s">
        <v>54</v>
      </c>
      <c r="B79" s="2"/>
      <c r="C79" s="2">
        <v>500000</v>
      </c>
      <c r="D79" s="10"/>
      <c r="E79" s="2"/>
      <c r="F79" s="2"/>
      <c r="G79" s="2"/>
      <c r="H79" s="2"/>
      <c r="I79" s="2"/>
      <c r="J79" s="2"/>
      <c r="K79" s="2"/>
      <c r="L79" s="2"/>
      <c r="M79" s="2"/>
      <c r="N79" s="2"/>
      <c r="O79" s="2">
        <f t="shared" si="3"/>
        <v>500000</v>
      </c>
      <c r="P79" s="2">
        <f>651065-O79</f>
        <v>151065</v>
      </c>
    </row>
    <row r="80" spans="1:17" s="41" customFormat="1" x14ac:dyDescent="0.2">
      <c r="A80" s="62" t="s">
        <v>55</v>
      </c>
      <c r="B80" s="2"/>
      <c r="C80" s="2"/>
      <c r="D80" s="10">
        <v>500000</v>
      </c>
      <c r="F80" s="2"/>
      <c r="G80" s="2"/>
      <c r="H80" s="2"/>
      <c r="I80" s="2"/>
      <c r="J80" s="2"/>
      <c r="K80" s="2"/>
      <c r="L80" s="2"/>
      <c r="M80" s="2"/>
      <c r="N80" s="2"/>
      <c r="O80" s="2">
        <f t="shared" si="3"/>
        <v>500000</v>
      </c>
      <c r="P80" s="2">
        <f>847967-O80</f>
        <v>347967</v>
      </c>
      <c r="Q80" s="41" t="s">
        <v>33</v>
      </c>
    </row>
    <row r="81" spans="1:18" s="41" customFormat="1" x14ac:dyDescent="0.2">
      <c r="A81" s="59" t="s">
        <v>34</v>
      </c>
      <c r="B81" s="2"/>
      <c r="C81" s="2"/>
      <c r="D81" s="10">
        <v>1000000</v>
      </c>
      <c r="E81" s="64"/>
      <c r="F81" s="2"/>
      <c r="G81" s="2"/>
      <c r="H81" s="2"/>
      <c r="I81" s="2"/>
      <c r="J81" s="2"/>
      <c r="K81" s="2"/>
      <c r="L81" s="2"/>
      <c r="M81" s="2"/>
      <c r="N81" s="2"/>
      <c r="O81" s="2">
        <f t="shared" si="3"/>
        <v>1000000</v>
      </c>
      <c r="P81" s="2">
        <f>1000000-O81</f>
        <v>0</v>
      </c>
    </row>
    <row r="82" spans="1:18" s="41" customFormat="1" x14ac:dyDescent="0.2">
      <c r="A82" s="59" t="s">
        <v>61</v>
      </c>
      <c r="B82" s="2"/>
      <c r="C82" s="2"/>
      <c r="D82" s="10"/>
      <c r="E82" s="2">
        <v>55000</v>
      </c>
      <c r="F82" s="2"/>
      <c r="G82" s="2"/>
      <c r="H82" s="2"/>
      <c r="I82" s="2"/>
      <c r="J82" s="2"/>
      <c r="K82" s="2"/>
      <c r="L82" s="40"/>
      <c r="N82" s="2"/>
      <c r="O82" s="2">
        <f t="shared" si="3"/>
        <v>55000</v>
      </c>
      <c r="P82" s="40">
        <f>55000-O82</f>
        <v>0</v>
      </c>
      <c r="Q82" s="63"/>
      <c r="R82" s="61"/>
    </row>
    <row r="83" spans="1:18" s="41" customFormat="1" x14ac:dyDescent="0.2">
      <c r="A83" s="62" t="s">
        <v>57</v>
      </c>
      <c r="B83" s="2"/>
      <c r="C83" s="2"/>
      <c r="D83" s="10"/>
      <c r="E83" s="2">
        <f>972525-722525</f>
        <v>250000</v>
      </c>
      <c r="F83" s="2"/>
      <c r="G83" s="2"/>
      <c r="H83" s="2"/>
      <c r="I83" s="2"/>
      <c r="J83" s="2"/>
      <c r="K83" s="2"/>
      <c r="L83" s="2"/>
      <c r="M83" s="2"/>
      <c r="N83" s="2"/>
      <c r="O83" s="2">
        <f t="shared" si="3"/>
        <v>250000</v>
      </c>
      <c r="P83" s="2">
        <f>1023000-O83</f>
        <v>773000</v>
      </c>
    </row>
    <row r="84" spans="1:18" s="41" customFormat="1" x14ac:dyDescent="0.2">
      <c r="A84" s="62" t="s">
        <v>56</v>
      </c>
      <c r="B84" s="2"/>
      <c r="C84" s="2"/>
      <c r="D84" s="10"/>
      <c r="F84" s="2"/>
      <c r="G84" s="40"/>
      <c r="H84" s="40"/>
      <c r="I84" s="2"/>
      <c r="J84" s="2"/>
      <c r="K84" s="2"/>
      <c r="L84" s="2"/>
      <c r="M84" s="2"/>
      <c r="N84" s="2"/>
      <c r="O84" s="2">
        <f t="shared" si="3"/>
        <v>0</v>
      </c>
      <c r="P84" s="2">
        <v>0</v>
      </c>
    </row>
    <row r="85" spans="1:18" s="41" customFormat="1" x14ac:dyDescent="0.2">
      <c r="A85" s="62" t="s">
        <v>59</v>
      </c>
      <c r="B85" s="2"/>
      <c r="C85" s="2"/>
      <c r="D85" s="10"/>
      <c r="E85" s="40"/>
      <c r="G85" s="2">
        <v>500000</v>
      </c>
      <c r="H85" s="2">
        <v>500000</v>
      </c>
      <c r="I85" s="2"/>
      <c r="J85" s="2"/>
      <c r="K85" s="2"/>
      <c r="L85" s="2"/>
      <c r="M85" s="2"/>
      <c r="N85" s="2"/>
      <c r="O85" s="2">
        <f>SUM(B85:N85)-G85</f>
        <v>500000</v>
      </c>
      <c r="P85" s="2">
        <f>1116000-O85</f>
        <v>616000</v>
      </c>
    </row>
    <row r="86" spans="1:18" s="41" customFormat="1" x14ac:dyDescent="0.2">
      <c r="A86" s="62" t="s">
        <v>85</v>
      </c>
      <c r="B86" s="2"/>
      <c r="C86" s="2"/>
      <c r="D86" s="10"/>
      <c r="E86" s="40"/>
      <c r="G86" s="2"/>
      <c r="H86" s="2"/>
      <c r="I86" s="2">
        <v>750000</v>
      </c>
      <c r="J86" s="2">
        <v>750000</v>
      </c>
      <c r="K86" s="2"/>
      <c r="L86" s="2"/>
      <c r="M86" s="2"/>
      <c r="N86" s="2"/>
      <c r="O86" s="2">
        <f>SUM(B86:N86)</f>
        <v>1500000</v>
      </c>
      <c r="P86" s="2"/>
    </row>
    <row r="87" spans="1:18" s="41" customFormat="1" ht="12" customHeight="1" x14ac:dyDescent="0.2">
      <c r="A87" s="62" t="s">
        <v>58</v>
      </c>
      <c r="B87" s="2"/>
      <c r="C87" s="2"/>
      <c r="D87" s="10"/>
      <c r="E87" s="2"/>
      <c r="F87" s="2"/>
      <c r="G87" s="2"/>
      <c r="H87" s="2"/>
      <c r="I87" s="2"/>
      <c r="J87" s="2"/>
      <c r="K87" s="2"/>
      <c r="L87" s="2">
        <v>100000</v>
      </c>
      <c r="M87" s="2"/>
      <c r="N87" s="2"/>
      <c r="O87" s="2">
        <f>SUM(B87:N87)</f>
        <v>100000</v>
      </c>
      <c r="P87" s="2">
        <f>675000-O87</f>
        <v>575000</v>
      </c>
      <c r="Q87" s="108" t="s">
        <v>80</v>
      </c>
      <c r="R87" s="61"/>
    </row>
    <row r="88" spans="1:18" s="41" customFormat="1" x14ac:dyDescent="0.2">
      <c r="A88" s="62" t="s">
        <v>60</v>
      </c>
      <c r="B88" s="2"/>
      <c r="C88" s="2"/>
      <c r="D88" s="10"/>
      <c r="E88" s="2"/>
      <c r="F88" s="2"/>
      <c r="G88" s="2"/>
      <c r="H88" s="2"/>
      <c r="I88" s="2"/>
      <c r="J88" s="2"/>
      <c r="K88" s="2"/>
      <c r="L88" s="40"/>
      <c r="N88" s="2"/>
      <c r="O88" s="2">
        <f>SUM(B88:N88)</f>
        <v>0</v>
      </c>
      <c r="P88" s="40">
        <f>1302000-O88</f>
        <v>1302000</v>
      </c>
      <c r="Q88" s="108"/>
      <c r="R88" s="61"/>
    </row>
    <row r="89" spans="1:18" s="41" customFormat="1" x14ac:dyDescent="0.2">
      <c r="A89" s="60" t="s">
        <v>35</v>
      </c>
      <c r="B89" s="6">
        <f t="shared" ref="B89:N89" si="4">SUBTOTAL(9,B78:B88)</f>
        <v>0</v>
      </c>
      <c r="C89" s="6">
        <f t="shared" si="4"/>
        <v>1000000</v>
      </c>
      <c r="D89" s="17">
        <f t="shared" si="4"/>
        <v>1500000</v>
      </c>
      <c r="E89" s="6">
        <f t="shared" si="4"/>
        <v>305000</v>
      </c>
      <c r="F89" s="6">
        <f t="shared" si="4"/>
        <v>0</v>
      </c>
      <c r="G89" s="6">
        <f t="shared" si="4"/>
        <v>500000</v>
      </c>
      <c r="H89" s="6">
        <f t="shared" si="4"/>
        <v>500000</v>
      </c>
      <c r="I89" s="6">
        <f t="shared" si="4"/>
        <v>750000</v>
      </c>
      <c r="J89" s="6">
        <f t="shared" si="4"/>
        <v>750000</v>
      </c>
      <c r="K89" s="6">
        <f t="shared" si="4"/>
        <v>0</v>
      </c>
      <c r="L89" s="6">
        <f t="shared" si="4"/>
        <v>100000</v>
      </c>
      <c r="M89" s="6">
        <f t="shared" si="4"/>
        <v>0</v>
      </c>
      <c r="N89" s="6">
        <f t="shared" si="4"/>
        <v>0</v>
      </c>
      <c r="O89" s="6">
        <f>SUM(O78:O88)</f>
        <v>4905000</v>
      </c>
      <c r="P89" s="4">
        <f>SUM(P78:P88)</f>
        <v>4470623</v>
      </c>
      <c r="Q89" s="108"/>
    </row>
    <row r="90" spans="1:18" s="41" customFormat="1" x14ac:dyDescent="0.2">
      <c r="B90" s="2"/>
      <c r="C90" s="2"/>
      <c r="D90" s="10"/>
      <c r="E90" s="2"/>
      <c r="F90" s="2"/>
      <c r="G90" s="2"/>
      <c r="H90" s="2"/>
      <c r="I90" s="2"/>
      <c r="J90" s="2"/>
      <c r="K90" s="2"/>
      <c r="L90" s="40"/>
      <c r="M90" s="2"/>
      <c r="N90" s="2"/>
      <c r="O90" s="2"/>
      <c r="P90" s="2"/>
    </row>
    <row r="91" spans="1:18" s="41" customFormat="1" x14ac:dyDescent="0.2">
      <c r="A91" s="59" t="s">
        <v>36</v>
      </c>
      <c r="B91" s="9">
        <f t="shared" ref="B91:O91" si="5">B73-B89</f>
        <v>500000</v>
      </c>
      <c r="C91" s="9">
        <f t="shared" si="5"/>
        <v>-500000</v>
      </c>
      <c r="D91" s="18">
        <f t="shared" si="5"/>
        <v>0</v>
      </c>
      <c r="E91" s="9">
        <f t="shared" si="5"/>
        <v>0</v>
      </c>
      <c r="F91" s="9">
        <f t="shared" si="5"/>
        <v>250000</v>
      </c>
      <c r="G91" s="9">
        <f t="shared" si="5"/>
        <v>-250000</v>
      </c>
      <c r="H91" s="9">
        <f t="shared" si="5"/>
        <v>-250000</v>
      </c>
      <c r="I91" s="9">
        <f t="shared" si="5"/>
        <v>100000</v>
      </c>
      <c r="J91" s="9">
        <f t="shared" si="5"/>
        <v>100000</v>
      </c>
      <c r="K91" s="9">
        <f t="shared" si="5"/>
        <v>0</v>
      </c>
      <c r="L91" s="9">
        <f t="shared" si="5"/>
        <v>-100000</v>
      </c>
      <c r="M91" s="9">
        <f t="shared" si="5"/>
        <v>0</v>
      </c>
      <c r="N91" s="9">
        <f t="shared" si="5"/>
        <v>0</v>
      </c>
      <c r="O91" s="9">
        <f t="shared" si="5"/>
        <v>100000</v>
      </c>
      <c r="P91" s="2"/>
    </row>
    <row r="92" spans="1:18" s="41" customFormat="1" x14ac:dyDescent="0.2">
      <c r="A92" s="59" t="s">
        <v>29</v>
      </c>
      <c r="B92" s="2">
        <v>0</v>
      </c>
      <c r="C92" s="2">
        <f>B93</f>
        <v>500000</v>
      </c>
      <c r="D92" s="10">
        <f>C93</f>
        <v>0</v>
      </c>
      <c r="E92" s="2">
        <f>D93</f>
        <v>0</v>
      </c>
      <c r="F92" s="2">
        <f>E93</f>
        <v>0</v>
      </c>
      <c r="G92" s="2">
        <f>F93</f>
        <v>250000</v>
      </c>
      <c r="H92" s="2">
        <f>F93</f>
        <v>250000</v>
      </c>
      <c r="I92" s="2">
        <f>G93</f>
        <v>0</v>
      </c>
      <c r="J92" s="2">
        <f>H93</f>
        <v>0</v>
      </c>
      <c r="K92" s="2">
        <f>I93</f>
        <v>100000</v>
      </c>
      <c r="L92" s="2">
        <f>K93</f>
        <v>100000</v>
      </c>
      <c r="M92" s="2">
        <f>L93</f>
        <v>0</v>
      </c>
      <c r="N92" s="2">
        <f>M93</f>
        <v>0</v>
      </c>
      <c r="O92" s="2"/>
      <c r="P92" s="2"/>
    </row>
    <row r="93" spans="1:18" s="41" customFormat="1" x14ac:dyDescent="0.2">
      <c r="A93" s="59" t="s">
        <v>30</v>
      </c>
      <c r="B93" s="9">
        <f t="shared" ref="B93:O93" si="6">B91+B92</f>
        <v>500000</v>
      </c>
      <c r="C93" s="9">
        <f t="shared" si="6"/>
        <v>0</v>
      </c>
      <c r="D93" s="18">
        <f t="shared" si="6"/>
        <v>0</v>
      </c>
      <c r="E93" s="9">
        <f t="shared" si="6"/>
        <v>0</v>
      </c>
      <c r="F93" s="9">
        <f t="shared" si="6"/>
        <v>250000</v>
      </c>
      <c r="G93" s="9">
        <f t="shared" si="6"/>
        <v>0</v>
      </c>
      <c r="H93" s="9">
        <f t="shared" si="6"/>
        <v>0</v>
      </c>
      <c r="I93" s="9">
        <f t="shared" si="6"/>
        <v>100000</v>
      </c>
      <c r="J93" s="9">
        <f t="shared" si="6"/>
        <v>100000</v>
      </c>
      <c r="K93" s="9">
        <f t="shared" si="6"/>
        <v>100000</v>
      </c>
      <c r="L93" s="9">
        <f t="shared" si="6"/>
        <v>0</v>
      </c>
      <c r="M93" s="9">
        <f t="shared" si="6"/>
        <v>0</v>
      </c>
      <c r="N93" s="9">
        <f t="shared" si="6"/>
        <v>0</v>
      </c>
      <c r="O93" s="9">
        <f t="shared" si="6"/>
        <v>100000</v>
      </c>
      <c r="P93" s="2"/>
    </row>
    <row r="94" spans="1:18" s="56" customFormat="1" x14ac:dyDescent="0.2">
      <c r="A94" s="58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57"/>
      <c r="M94" s="10"/>
      <c r="N94" s="10"/>
      <c r="O94" s="10"/>
      <c r="P94" s="10"/>
    </row>
    <row r="95" spans="1:18" s="41" customFormat="1" x14ac:dyDescent="0.2">
      <c r="A95" s="55"/>
      <c r="B95" s="11"/>
      <c r="C95" s="11"/>
      <c r="D95" s="11"/>
      <c r="E95" s="54"/>
      <c r="F95" s="11"/>
      <c r="G95" s="11"/>
      <c r="H95" s="11"/>
      <c r="I95" s="11"/>
      <c r="J95" s="11"/>
      <c r="K95" s="11"/>
      <c r="L95" s="54"/>
      <c r="M95" s="11"/>
      <c r="N95" s="11"/>
      <c r="O95" s="54"/>
      <c r="P95" s="54"/>
    </row>
    <row r="96" spans="1:18" x14ac:dyDescent="0.2">
      <c r="A96" s="52" t="s">
        <v>37</v>
      </c>
      <c r="B96" s="53" t="s">
        <v>1</v>
      </c>
      <c r="C96" s="53" t="s">
        <v>1</v>
      </c>
      <c r="D96" s="53" t="str">
        <f>D1</f>
        <v>Actual</v>
      </c>
      <c r="E96" s="53" t="str">
        <f>E1</f>
        <v>Actual</v>
      </c>
      <c r="F96" s="53" t="str">
        <f>F1</f>
        <v>Actual</v>
      </c>
      <c r="G96" s="53" t="s">
        <v>2</v>
      </c>
      <c r="H96" s="53" t="str">
        <f>H1</f>
        <v>Estimated</v>
      </c>
      <c r="I96" s="53" t="s">
        <v>2</v>
      </c>
      <c r="J96" s="53" t="s">
        <v>2</v>
      </c>
      <c r="K96" s="53" t="s">
        <v>2</v>
      </c>
      <c r="L96" s="53" t="s">
        <v>2</v>
      </c>
      <c r="M96" s="53" t="s">
        <v>2</v>
      </c>
      <c r="N96" s="53" t="s">
        <v>2</v>
      </c>
      <c r="O96" s="53" t="s">
        <v>2</v>
      </c>
      <c r="P96" s="49" t="s">
        <v>8</v>
      </c>
    </row>
    <row r="97" spans="1:16" ht="15.75" x14ac:dyDescent="0.25">
      <c r="A97" s="52" t="s">
        <v>38</v>
      </c>
      <c r="B97" s="51" t="s">
        <v>4</v>
      </c>
      <c r="C97" s="49">
        <v>2010</v>
      </c>
      <c r="D97" s="49">
        <v>2011</v>
      </c>
      <c r="E97" s="49">
        <f>E2</f>
        <v>2012</v>
      </c>
      <c r="F97" s="50">
        <f>F2</f>
        <v>2013</v>
      </c>
      <c r="G97" s="49" t="s">
        <v>9</v>
      </c>
      <c r="H97" s="49" t="str">
        <f>H2</f>
        <v>2014***</v>
      </c>
      <c r="I97" s="49" t="s">
        <v>10</v>
      </c>
      <c r="J97" s="49" t="s">
        <v>10</v>
      </c>
      <c r="K97" s="49" t="s">
        <v>11</v>
      </c>
      <c r="L97" s="49" t="s">
        <v>12</v>
      </c>
      <c r="M97" s="49" t="s">
        <v>13</v>
      </c>
      <c r="N97" s="48" t="s">
        <v>14</v>
      </c>
      <c r="O97" s="47" t="s">
        <v>15</v>
      </c>
      <c r="P97" s="47" t="s">
        <v>16</v>
      </c>
    </row>
    <row r="98" spans="1:16" s="43" customFormat="1" x14ac:dyDescent="0.2">
      <c r="A98" s="46" t="s">
        <v>39</v>
      </c>
      <c r="B98" s="12">
        <f>B73+B3</f>
        <v>2389133</v>
      </c>
      <c r="C98" s="12">
        <f>C73+C3</f>
        <v>3999351</v>
      </c>
      <c r="D98" s="19">
        <f>D73+D3</f>
        <v>4221757</v>
      </c>
      <c r="E98" s="12">
        <f>E73+E3</f>
        <v>4448990</v>
      </c>
      <c r="F98" s="12">
        <f>F73+F3</f>
        <v>4521382</v>
      </c>
      <c r="G98" s="12">
        <v>4619150</v>
      </c>
      <c r="H98" s="12">
        <f t="shared" ref="H98:O98" si="7">H73+H3</f>
        <v>4518865</v>
      </c>
      <c r="I98" s="12">
        <f t="shared" si="7"/>
        <v>4767440</v>
      </c>
      <c r="J98" s="12">
        <f t="shared" si="7"/>
        <v>5225586.625</v>
      </c>
      <c r="K98" s="12">
        <f t="shared" si="7"/>
        <v>4862788.8</v>
      </c>
      <c r="L98" s="12">
        <f t="shared" si="7"/>
        <v>4960044.5760000004</v>
      </c>
      <c r="M98" s="12">
        <f t="shared" si="7"/>
        <v>5059245.4675200004</v>
      </c>
      <c r="N98" s="12">
        <f t="shared" si="7"/>
        <v>2150179.323696</v>
      </c>
      <c r="O98" s="12">
        <f t="shared" si="7"/>
        <v>51124762.792215995</v>
      </c>
      <c r="P98" s="12"/>
    </row>
    <row r="99" spans="1:16" s="43" customFormat="1" x14ac:dyDescent="0.2">
      <c r="A99" s="46" t="s">
        <v>40</v>
      </c>
      <c r="B99" s="12">
        <f t="shared" ref="B99:O99" si="8">B89+B64</f>
        <v>720379</v>
      </c>
      <c r="C99" s="12">
        <f t="shared" si="8"/>
        <v>3644972.94</v>
      </c>
      <c r="D99" s="19">
        <f t="shared" si="8"/>
        <v>3541303</v>
      </c>
      <c r="E99" s="12">
        <f t="shared" si="8"/>
        <v>2310711</v>
      </c>
      <c r="F99" s="12">
        <f t="shared" si="8"/>
        <v>2503981</v>
      </c>
      <c r="G99" s="12">
        <f t="shared" si="8"/>
        <v>4500000</v>
      </c>
      <c r="H99" s="12">
        <f t="shared" si="8"/>
        <v>3921330</v>
      </c>
      <c r="I99" s="12">
        <f t="shared" si="8"/>
        <v>10132750</v>
      </c>
      <c r="J99" s="12">
        <f t="shared" si="8"/>
        <v>10133127</v>
      </c>
      <c r="K99" s="12">
        <f t="shared" si="8"/>
        <v>4450000</v>
      </c>
      <c r="L99" s="12">
        <f t="shared" si="8"/>
        <v>3450000</v>
      </c>
      <c r="M99" s="12">
        <f t="shared" si="8"/>
        <v>5925200</v>
      </c>
      <c r="N99" s="12">
        <f t="shared" si="8"/>
        <v>2319112.333333333</v>
      </c>
      <c r="O99" s="12">
        <f t="shared" si="8"/>
        <v>43669739.273333333</v>
      </c>
      <c r="P99" s="12">
        <f>P64+P89</f>
        <v>14485967.65</v>
      </c>
    </row>
    <row r="100" spans="1:16" s="43" customFormat="1" x14ac:dyDescent="0.2">
      <c r="A100" s="13" t="s">
        <v>41</v>
      </c>
      <c r="B100" s="6">
        <f t="shared" ref="B100:O100" si="9">B98-B99</f>
        <v>1668754</v>
      </c>
      <c r="C100" s="6">
        <f t="shared" si="9"/>
        <v>354378.06000000006</v>
      </c>
      <c r="D100" s="17">
        <f t="shared" si="9"/>
        <v>680454</v>
      </c>
      <c r="E100" s="6">
        <f t="shared" si="9"/>
        <v>2138279</v>
      </c>
      <c r="F100" s="6">
        <f t="shared" si="9"/>
        <v>2017401</v>
      </c>
      <c r="G100" s="6">
        <f t="shared" si="9"/>
        <v>119150</v>
      </c>
      <c r="H100" s="6">
        <f t="shared" si="9"/>
        <v>597535</v>
      </c>
      <c r="I100" s="6">
        <f t="shared" si="9"/>
        <v>-5365310</v>
      </c>
      <c r="J100" s="6">
        <f t="shared" si="9"/>
        <v>-4907540.375</v>
      </c>
      <c r="K100" s="6">
        <f t="shared" si="9"/>
        <v>412788.79999999981</v>
      </c>
      <c r="L100" s="6">
        <f t="shared" si="9"/>
        <v>1510044.5760000004</v>
      </c>
      <c r="M100" s="6">
        <f t="shared" si="9"/>
        <v>-865954.53247999959</v>
      </c>
      <c r="N100" s="6">
        <f t="shared" si="9"/>
        <v>-168933.00963733299</v>
      </c>
      <c r="O100" s="6">
        <f t="shared" si="9"/>
        <v>7455023.5188826621</v>
      </c>
      <c r="P100" s="14"/>
    </row>
    <row r="101" spans="1:16" s="41" customFormat="1" x14ac:dyDescent="0.2">
      <c r="A101" s="3"/>
      <c r="B101" s="2"/>
      <c r="C101" s="2"/>
      <c r="D101" s="10"/>
      <c r="E101" s="40"/>
      <c r="F101" s="2"/>
      <c r="G101" s="2"/>
      <c r="H101" s="2"/>
      <c r="I101" s="2"/>
      <c r="J101" s="2"/>
      <c r="K101" s="2"/>
      <c r="L101" s="2"/>
      <c r="M101" s="2"/>
      <c r="N101" s="40"/>
      <c r="O101" s="40"/>
    </row>
    <row r="102" spans="1:16" s="41" customFormat="1" x14ac:dyDescent="0.2">
      <c r="A102" s="3" t="s">
        <v>42</v>
      </c>
      <c r="B102" s="2">
        <v>0</v>
      </c>
      <c r="C102" s="2">
        <f>B104</f>
        <v>1668754</v>
      </c>
      <c r="D102" s="10">
        <v>2023132</v>
      </c>
      <c r="E102" s="2">
        <f>D104</f>
        <v>2703586</v>
      </c>
      <c r="F102" s="2">
        <f>E104</f>
        <v>4841865</v>
      </c>
      <c r="G102" s="2">
        <f>F104</f>
        <v>6859266</v>
      </c>
      <c r="H102" s="2">
        <f>F104</f>
        <v>6859266</v>
      </c>
      <c r="I102" s="2">
        <f>H104</f>
        <v>7456801</v>
      </c>
      <c r="J102" s="2">
        <f>+H104</f>
        <v>7456801</v>
      </c>
      <c r="K102" s="2">
        <f>I104</f>
        <v>2091491</v>
      </c>
      <c r="L102" s="2">
        <f>K104</f>
        <v>2504279.7999999998</v>
      </c>
      <c r="M102" s="2">
        <f>L104</f>
        <v>4014324.3760000002</v>
      </c>
      <c r="N102" s="2">
        <f>M104</f>
        <v>3148369.8435200006</v>
      </c>
      <c r="O102" s="2"/>
    </row>
    <row r="103" spans="1:16" s="41" customFormat="1" x14ac:dyDescent="0.2">
      <c r="A103" s="3"/>
      <c r="B103" s="2"/>
      <c r="C103" s="2"/>
      <c r="D103" s="10"/>
      <c r="E103" s="40"/>
      <c r="F103" s="2"/>
      <c r="G103" s="2"/>
      <c r="H103" s="2"/>
      <c r="I103" s="2"/>
      <c r="J103" s="2"/>
      <c r="K103" s="2"/>
      <c r="L103" s="2"/>
      <c r="M103" s="2"/>
      <c r="N103" s="40"/>
      <c r="O103" s="40"/>
    </row>
    <row r="104" spans="1:16" s="44" customFormat="1" ht="12.75" thickBot="1" x14ac:dyDescent="0.25">
      <c r="A104" s="15" t="s">
        <v>43</v>
      </c>
      <c r="B104" s="16">
        <f t="shared" ref="B104:N104" si="10">B100+B102</f>
        <v>1668754</v>
      </c>
      <c r="C104" s="16">
        <f t="shared" si="10"/>
        <v>2023132.06</v>
      </c>
      <c r="D104" s="20">
        <f t="shared" si="10"/>
        <v>2703586</v>
      </c>
      <c r="E104" s="16">
        <f t="shared" si="10"/>
        <v>4841865</v>
      </c>
      <c r="F104" s="16">
        <f t="shared" si="10"/>
        <v>6859266</v>
      </c>
      <c r="G104" s="16">
        <f t="shared" si="10"/>
        <v>6978416</v>
      </c>
      <c r="H104" s="16">
        <f t="shared" si="10"/>
        <v>7456801</v>
      </c>
      <c r="I104" s="16">
        <f t="shared" si="10"/>
        <v>2091491</v>
      </c>
      <c r="J104" s="16">
        <f t="shared" si="10"/>
        <v>2549260.625</v>
      </c>
      <c r="K104" s="16">
        <f t="shared" si="10"/>
        <v>2504279.7999999998</v>
      </c>
      <c r="L104" s="16">
        <f t="shared" si="10"/>
        <v>4014324.3760000002</v>
      </c>
      <c r="M104" s="16">
        <f t="shared" si="10"/>
        <v>3148369.8435200006</v>
      </c>
      <c r="N104" s="16">
        <f t="shared" si="10"/>
        <v>2979436.8338826676</v>
      </c>
      <c r="O104" s="16">
        <f>O98-O99+O102</f>
        <v>7455023.5188826621</v>
      </c>
      <c r="P104" s="45"/>
    </row>
    <row r="105" spans="1:16" s="41" customFormat="1" ht="12.75" thickTop="1" x14ac:dyDescent="0.2">
      <c r="A105" s="3" t="s">
        <v>44</v>
      </c>
      <c r="B105" s="2"/>
      <c r="C105" s="2"/>
      <c r="D105" s="10"/>
      <c r="E105" s="40"/>
      <c r="F105" s="2"/>
      <c r="G105" s="2"/>
      <c r="H105" s="2"/>
      <c r="I105" s="2"/>
      <c r="J105" s="2"/>
      <c r="K105" s="2"/>
      <c r="L105" s="2"/>
      <c r="M105" s="2"/>
      <c r="N105" s="40"/>
      <c r="O105" s="40"/>
    </row>
    <row r="106" spans="1:16" s="41" customFormat="1" x14ac:dyDescent="0.2">
      <c r="A106" s="3" t="s">
        <v>45</v>
      </c>
      <c r="B106" s="2"/>
      <c r="C106" s="2"/>
      <c r="D106" s="10"/>
      <c r="E106" s="40"/>
      <c r="F106" s="2"/>
      <c r="G106" s="2"/>
      <c r="H106" s="2"/>
      <c r="I106" s="2"/>
      <c r="J106" s="2"/>
      <c r="K106" s="2"/>
      <c r="L106" s="2"/>
      <c r="M106" s="2"/>
      <c r="N106" s="40"/>
      <c r="O106" s="40"/>
    </row>
    <row r="107" spans="1:16" s="41" customFormat="1" x14ac:dyDescent="0.2">
      <c r="A107" s="3" t="s">
        <v>93</v>
      </c>
      <c r="B107" s="2"/>
      <c r="C107" s="2"/>
      <c r="D107" s="10"/>
      <c r="E107" s="40"/>
      <c r="F107" s="2"/>
      <c r="G107" s="2"/>
      <c r="H107" s="2"/>
      <c r="I107" s="2"/>
      <c r="J107" s="2"/>
      <c r="K107" s="2"/>
      <c r="L107" s="2"/>
      <c r="M107" s="2"/>
      <c r="N107" s="40"/>
      <c r="O107" s="40"/>
    </row>
    <row r="108" spans="1:16" s="41" customFormat="1" x14ac:dyDescent="0.2">
      <c r="A108" s="3"/>
      <c r="B108" s="2"/>
      <c r="C108" s="2"/>
      <c r="D108" s="10"/>
      <c r="E108" s="40"/>
      <c r="F108" s="2"/>
      <c r="G108" s="2"/>
      <c r="H108" s="2"/>
      <c r="I108" s="2"/>
      <c r="J108" s="2"/>
      <c r="K108" s="2"/>
      <c r="L108" s="2"/>
      <c r="M108" s="2"/>
      <c r="N108" s="40"/>
      <c r="O108" s="40"/>
    </row>
    <row r="109" spans="1:16" s="41" customFormat="1" x14ac:dyDescent="0.2">
      <c r="A109" s="43" t="s">
        <v>46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</row>
    <row r="110" spans="1:16" s="41" customFormat="1" x14ac:dyDescent="0.2">
      <c r="A110" s="41" t="s">
        <v>47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</row>
    <row r="111" spans="1:16" s="41" customFormat="1" x14ac:dyDescent="0.2">
      <c r="A111" s="41" t="s">
        <v>48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</row>
    <row r="112" spans="1:16" s="41" customFormat="1" x14ac:dyDescent="0.2">
      <c r="A112" s="41" t="s">
        <v>49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</row>
    <row r="113" spans="1:15" s="41" customFormat="1" x14ac:dyDescent="0.2">
      <c r="A113" s="41" t="s">
        <v>50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</row>
    <row r="114" spans="1:15" s="41" customFormat="1" x14ac:dyDescent="0.2">
      <c r="A114" s="41" t="s">
        <v>51</v>
      </c>
      <c r="B114" s="40">
        <v>12891000</v>
      </c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</row>
    <row r="115" spans="1:15" s="41" customFormat="1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40"/>
      <c r="O115" s="40"/>
    </row>
    <row r="116" spans="1:15" s="41" customFormat="1" x14ac:dyDescent="0.2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</row>
    <row r="117" spans="1:15" s="41" customFormat="1" x14ac:dyDescent="0.2">
      <c r="A117" s="42" t="s">
        <v>52</v>
      </c>
      <c r="B117" s="40" t="s">
        <v>52</v>
      </c>
      <c r="C117" s="40"/>
      <c r="D117" s="40"/>
      <c r="F117" s="40"/>
      <c r="G117" s="40"/>
      <c r="H117" s="40"/>
      <c r="I117" s="40" t="s">
        <v>52</v>
      </c>
      <c r="J117" s="40" t="s">
        <v>52</v>
      </c>
      <c r="K117" s="40"/>
      <c r="L117" s="40"/>
      <c r="M117" s="40"/>
      <c r="N117" s="40"/>
      <c r="O117" s="40"/>
    </row>
    <row r="118" spans="1:15" s="41" customFormat="1" x14ac:dyDescent="0.2">
      <c r="B118" s="40"/>
      <c r="C118" s="40"/>
      <c r="D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</row>
    <row r="119" spans="1:15" s="41" customFormat="1" x14ac:dyDescent="0.2">
      <c r="B119" s="40"/>
      <c r="C119" s="40"/>
      <c r="D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</row>
    <row r="120" spans="1:15" s="41" customFormat="1" x14ac:dyDescent="0.2">
      <c r="B120" s="40"/>
      <c r="C120" s="40"/>
      <c r="D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</row>
    <row r="121" spans="1:15" s="41" customFormat="1" x14ac:dyDescent="0.2">
      <c r="B121" s="40"/>
      <c r="C121" s="40"/>
      <c r="D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</row>
    <row r="122" spans="1:15" s="41" customFormat="1" x14ac:dyDescent="0.2">
      <c r="B122" s="40"/>
      <c r="C122" s="40"/>
      <c r="D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</row>
    <row r="123" spans="1:15" s="41" customFormat="1" x14ac:dyDescent="0.2">
      <c r="B123" s="40"/>
      <c r="C123" s="40"/>
      <c r="D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</row>
    <row r="124" spans="1:15" s="41" customFormat="1" x14ac:dyDescent="0.2">
      <c r="B124" s="40"/>
      <c r="C124" s="40"/>
      <c r="D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</row>
  </sheetData>
  <mergeCells count="1">
    <mergeCell ref="Q87:Q89"/>
  </mergeCells>
  <conditionalFormatting sqref="B104:I104 K104:O104">
    <cfRule type="cellIs" dxfId="1" priority="2" stopIfTrue="1" operator="lessThan">
      <formula>1</formula>
    </cfRule>
  </conditionalFormatting>
  <conditionalFormatting sqref="J104">
    <cfRule type="cellIs" dxfId="0" priority="1" stopIfTrue="1" operator="lessThan">
      <formula>1</formula>
    </cfRule>
  </conditionalFormatting>
  <pageMargins left="0.25" right="0.25" top="0.75" bottom="0.75" header="0.3" footer="0.3"/>
  <pageSetup paperSize="17" scale="54" orientation="landscape" r:id="rId1"/>
  <headerFooter alignWithMargins="0">
    <oddHeader>&amp;C&amp;"Arial,Bold"REVISED 02/12/15&amp;"Arial,Regular"
Infrastructure Sales Tax
Revenues and Expenses
expires March 31, 2019</oddHeader>
  </headerFooter>
  <rowBreaks count="1" manualBreakCount="1">
    <brk id="11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infrastr plan as of 04.30.15</vt:lpstr>
      <vt:lpstr>'infrastr plan as of 04.30.15'!Print_Area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Toomay</dc:creator>
  <cp:lastModifiedBy>Bobbie Walthall</cp:lastModifiedBy>
  <cp:lastPrinted>2015-05-26T20:02:08Z</cp:lastPrinted>
  <dcterms:created xsi:type="dcterms:W3CDTF">2012-02-10T22:57:07Z</dcterms:created>
  <dcterms:modified xsi:type="dcterms:W3CDTF">2015-05-28T18:22:52Z</dcterms:modified>
</cp:coreProperties>
</file>